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WK II m" sheetId="1" r:id="rId1"/>
    <sheet name="WK III m" sheetId="2" r:id="rId2"/>
    <sheet name="WK IV m" sheetId="3" r:id="rId3"/>
    <sheet name="WK II w" sheetId="4" r:id="rId4"/>
    <sheet name="WK III w" sheetId="5" r:id="rId5"/>
    <sheet name="WK IV w" sheetId="6" r:id="rId6"/>
    <sheet name="Auswertung" sheetId="7" r:id="rId7"/>
    <sheet name="1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Tabelle1" sheetId="15" r:id="rId15"/>
  </sheets>
  <definedNames/>
  <calcPr fullCalcOnLoad="1"/>
</workbook>
</file>

<file path=xl/sharedStrings.xml><?xml version="1.0" encoding="utf-8"?>
<sst xmlns="http://schemas.openxmlformats.org/spreadsheetml/2006/main" count="592" uniqueCount="59">
  <si>
    <t>Schule</t>
  </si>
  <si>
    <t>Kugel</t>
  </si>
  <si>
    <t>100m</t>
  </si>
  <si>
    <t>Weit</t>
  </si>
  <si>
    <t>Hoch</t>
  </si>
  <si>
    <t>Speer</t>
  </si>
  <si>
    <t>4x100m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</si>
  <si>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</si>
  <si>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</si>
  <si>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</si>
  <si>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</si>
  <si>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</si>
  <si>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</si>
  <si>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</si>
  <si>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</si>
  <si>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</si>
  <si>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</si>
  <si>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</si>
  <si>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</si>
  <si>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</si>
  <si>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</si>
  <si>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</si>
  <si>
    <t>800m</t>
  </si>
  <si>
    <t>WK II Jungen</t>
  </si>
  <si>
    <t>Punkte</t>
  </si>
  <si>
    <t>WK III Jungen</t>
  </si>
  <si>
    <t>WK IV Jungen</t>
  </si>
  <si>
    <t>WK II Mädchen</t>
  </si>
  <si>
    <t>WK III Mädchen</t>
  </si>
  <si>
    <t>WK IV Mädchen</t>
  </si>
  <si>
    <t>1.</t>
  </si>
  <si>
    <t>2.</t>
  </si>
  <si>
    <t>3.</t>
  </si>
  <si>
    <t>4.</t>
  </si>
  <si>
    <t>5.</t>
  </si>
  <si>
    <t>6.</t>
  </si>
  <si>
    <t>OS Lengefeld</t>
  </si>
  <si>
    <t>OS "Trebra" Marienberg</t>
  </si>
  <si>
    <t>OS Auerbach</t>
  </si>
  <si>
    <t>7.</t>
  </si>
  <si>
    <t>LKG Annaberg</t>
  </si>
  <si>
    <t>OS Olbernhau</t>
  </si>
  <si>
    <t>OS Bebel Zschopau</t>
  </si>
  <si>
    <t>Gym Olbernhau</t>
  </si>
  <si>
    <t>Gym Marienberg</t>
  </si>
  <si>
    <t>Gym Zschopau</t>
  </si>
  <si>
    <t>OS Eibenstock</t>
  </si>
  <si>
    <t>8.</t>
  </si>
  <si>
    <t>OS Bergstadt Schneeberg</t>
  </si>
  <si>
    <t>OS Jöhstadt</t>
  </si>
  <si>
    <t>Gymn Olbernhau</t>
  </si>
  <si>
    <t xml:space="preserve">    JtfO Erzgebirgsfinale Leichtathletik am 18.09.2018 in Marienberg, Endauswertung</t>
  </si>
  <si>
    <t xml:space="preserve">    JtfO Erzgebirgsfinale Leichtathletik am 18.09.2018 in Marienberg, Stand  nach der 1. Disziplin</t>
  </si>
  <si>
    <t xml:space="preserve">    JtfO Erzgebirgsfinale Leichtathletik am 18.09.2018 in Marienberg, Stand  nach der 2. Disziplin</t>
  </si>
  <si>
    <t xml:space="preserve">    JtfO Erzgebirgsfinale Leichtathletik am 18.09.2018 in Marienberg, Stand  nach der 3. Disziplin</t>
  </si>
  <si>
    <t xml:space="preserve">    JtfO Erzgebirgsfinale Leichtathletik am 18.09.2018 in Marienberg, Stand  nach der 4. Disziplin</t>
  </si>
  <si>
    <t xml:space="preserve">    JtfO Erzgebirgsfinale Leichtathletik am 18.09.2018 in Marienberg, Stand  nach der 5. Disziplin</t>
  </si>
  <si>
    <t xml:space="preserve">    JtfO Erzgebirgsfinale Leichtathletik am 18.09.2018 in Marienberg, Stand  nach der 6. Disziplin</t>
  </si>
  <si>
    <t xml:space="preserve">    JtfO Erzgebirgsfinale Leichtathletik am 18.09.2018 in Marienberg, Stand  nach der 7. Disziplin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</si>
</sst>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3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6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6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7" fillId="34" borderId="10" xfId="0" applyNumberFormat="1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12" xfId="0" applyFont="1" applyFill="1" applyBorder="1" applyAlignment="1">
      <alignment/>
    </xf>
    <xf numFmtId="2" fontId="51" fillId="0" borderId="10" xfId="0" applyNumberFormat="1" applyFont="1" applyFill="1" applyBorder="1" applyAlignment="1">
      <alignment/>
    </xf>
    <xf numFmtId="2" fontId="51" fillId="0" borderId="12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51" fillId="0" borderId="12" xfId="0" applyNumberFormat="1" applyFont="1" applyBorder="1" applyAlignment="1">
      <alignment/>
    </xf>
    <xf numFmtId="0" fontId="51" fillId="0" borderId="10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3"/>
  <sheetViews>
    <sheetView tabSelected="1" zoomScalePageLayoutView="0" workbookViewId="0" topLeftCell="A1">
      <selection activeCell="C27" sqref="C27"/>
    </sheetView>
  </sheetViews>
  <sheetFormatPr defaultColWidth="11.421875" defaultRowHeight="15"/>
  <cols>
    <col min="1" max="1" width="8.8515625" style="0" bestFit="1" customWidth="1"/>
    <col min="2" max="2" width="30.14062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10.8515625" style="0" bestFit="1" customWidth="1"/>
    <col min="7" max="7" width="9.57421875" style="0" bestFit="1" customWidth="1"/>
    <col min="8" max="8" width="7.421875" style="0" customWidth="1"/>
    <col min="9" max="9" width="9.57421875" style="0" bestFit="1" customWidth="1"/>
    <col min="10" max="10" width="7.7109375" style="0" customWidth="1"/>
    <col min="11" max="11" width="9.8515625" style="0" customWidth="1"/>
    <col min="12" max="12" width="7.140625" style="0" bestFit="1" customWidth="1"/>
    <col min="13" max="13" width="10.28125" style="0" bestFit="1" customWidth="1"/>
    <col min="14" max="14" width="9.7109375" style="0" bestFit="1" customWidth="1"/>
    <col min="15" max="15" width="12.140625" style="0" bestFit="1" customWidth="1"/>
    <col min="16" max="16" width="8.421875" style="0" bestFit="1" customWidth="1"/>
    <col min="17" max="17" width="9.57421875" style="0" bestFit="1" customWidth="1"/>
  </cols>
  <sheetData>
    <row r="1" spans="1:17" ht="20.25">
      <c r="A1" s="16"/>
      <c r="B1" s="14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5</v>
      </c>
      <c r="E3" s="1"/>
      <c r="F3" s="1" t="s">
        <v>1</v>
      </c>
      <c r="G3" s="1"/>
      <c r="H3" s="1" t="s">
        <v>3</v>
      </c>
      <c r="I3" s="1"/>
      <c r="J3" s="1" t="s">
        <v>2</v>
      </c>
      <c r="K3" s="1"/>
      <c r="L3" s="1" t="s">
        <v>4</v>
      </c>
      <c r="M3" s="1"/>
      <c r="N3" s="1" t="s">
        <v>6</v>
      </c>
      <c r="O3" s="1"/>
      <c r="P3" s="1" t="s">
        <v>22</v>
      </c>
      <c r="Q3" s="5"/>
    </row>
    <row r="4" spans="1:17" ht="15.75">
      <c r="A4" s="10"/>
      <c r="B4" s="2"/>
      <c r="C4" s="5"/>
      <c r="D4" s="11">
        <v>21.2</v>
      </c>
      <c r="E4" s="3">
        <f>(((SQRT(D4)-0.35)/0.01052))</f>
        <v>404.4054917574653</v>
      </c>
      <c r="F4" s="11">
        <v>8.22</v>
      </c>
      <c r="G4" s="2">
        <f>((SQRT(F4)-1.425)/0.0037)</f>
        <v>389.7443884773757</v>
      </c>
      <c r="H4" s="11">
        <v>5.85</v>
      </c>
      <c r="I4" s="2">
        <f>((SQRT(H4)-1.15028)/0.00219)</f>
        <v>579.1768604975181</v>
      </c>
      <c r="J4" s="11">
        <v>11.91</v>
      </c>
      <c r="K4" s="2">
        <f>(((100/(J4+0.24))-4.341)/0.00676)</f>
        <v>575.3628217303431</v>
      </c>
      <c r="L4" s="11">
        <v>1.66</v>
      </c>
      <c r="M4" s="2">
        <f>((SQRT(L4)-0.841)/0.0008)</f>
        <v>559.2623408406408</v>
      </c>
      <c r="N4" s="12">
        <v>48.93</v>
      </c>
      <c r="O4" s="5">
        <f>(((400/(N4+0.14))-4.341)/0.00338)</f>
        <v>1127.402406657317</v>
      </c>
      <c r="P4" s="12">
        <v>162</v>
      </c>
      <c r="Q4" s="5">
        <f>(((800/P4)-2.325)/0.00644)</f>
        <v>405.78751629476255</v>
      </c>
    </row>
    <row r="5" spans="1:17" ht="15.75">
      <c r="A5" s="10"/>
      <c r="B5" s="2"/>
      <c r="C5" s="5"/>
      <c r="D5" s="11">
        <v>22</v>
      </c>
      <c r="E5" s="3">
        <f>(((SQRT(D5)-0.35)/0.01052))</f>
        <v>412.58704941287357</v>
      </c>
      <c r="F5" s="11">
        <v>9.91</v>
      </c>
      <c r="G5" s="2">
        <f>((SQRT(F5)-1.425)/0.0037)</f>
        <v>465.6797966863348</v>
      </c>
      <c r="H5" s="11">
        <v>5.1</v>
      </c>
      <c r="I5" s="2">
        <f>((SQRT(H5)-1.15028)/0.00219)</f>
        <v>505.95340553755375</v>
      </c>
      <c r="J5" s="11">
        <v>13.05</v>
      </c>
      <c r="K5" s="2">
        <f>(((100/(J5+0.24))-4.341)/0.00676)</f>
        <v>470.9252184985817</v>
      </c>
      <c r="L5" s="11">
        <v>1.55</v>
      </c>
      <c r="M5" s="2">
        <f>((SQRT(L5)-0.841)/0.0008)</f>
        <v>504.9874497485915</v>
      </c>
      <c r="N5" s="12"/>
      <c r="O5" s="5">
        <v>0</v>
      </c>
      <c r="P5" s="12">
        <v>155</v>
      </c>
      <c r="Q5" s="5">
        <f>(((800/P5)-2.325)/0.00644)</f>
        <v>440.41775195351624</v>
      </c>
    </row>
    <row r="6" spans="1:17" ht="15.75">
      <c r="A6" s="10"/>
      <c r="B6" s="2"/>
      <c r="C6" s="5"/>
      <c r="D6" s="11">
        <v>30.5</v>
      </c>
      <c r="E6" s="3">
        <f>(((SQRT(D6)-0.35)/0.01052))</f>
        <v>491.69966811726533</v>
      </c>
      <c r="F6" s="11">
        <v>10.97</v>
      </c>
      <c r="G6" s="2">
        <f>((SQRT(F6)-1.425)/0.0037)</f>
        <v>510.02676549617263</v>
      </c>
      <c r="H6" s="11">
        <v>5.28</v>
      </c>
      <c r="I6" s="2">
        <f>((SQRT(H6)-1.15028)/0.00219)</f>
        <v>523.9931774498682</v>
      </c>
      <c r="J6" s="11">
        <v>12.66</v>
      </c>
      <c r="K6" s="2">
        <f>(((100/(J6+0.24))-4.341)/0.00676)</f>
        <v>504.576624925462</v>
      </c>
      <c r="L6" s="11">
        <v>1.5</v>
      </c>
      <c r="M6" s="2">
        <f>((SQRT(L6)-0.841)/0.0008)</f>
        <v>479.6810892394862</v>
      </c>
      <c r="N6" s="12"/>
      <c r="O6" s="5">
        <v>0</v>
      </c>
      <c r="P6" s="12">
        <v>136</v>
      </c>
      <c r="Q6" s="5">
        <f>(((800/P6)-2.325)/0.00644)</f>
        <v>552.3839970770917</v>
      </c>
    </row>
    <row r="7" spans="1:17" ht="15.75">
      <c r="A7" s="10">
        <f>RANK(C7,C4:C23,0)</f>
        <v>1</v>
      </c>
      <c r="B7" s="6" t="s">
        <v>44</v>
      </c>
      <c r="C7" s="5">
        <f>SUM(E7:Q7)</f>
        <v>7247.556710592995</v>
      </c>
      <c r="D7" s="11"/>
      <c r="E7" s="2">
        <f>SUM(E4:E6)-MIN(E4:E6)</f>
        <v>904.286717530139</v>
      </c>
      <c r="F7" s="11"/>
      <c r="G7" s="2">
        <f>SUM(G4:G6)-MIN(G4:G6)</f>
        <v>975.7065621825075</v>
      </c>
      <c r="H7" s="11"/>
      <c r="I7" s="2">
        <f>SUM(I4:I6)-MIN(I4:I6)</f>
        <v>1103.1700379473864</v>
      </c>
      <c r="J7" s="11"/>
      <c r="K7" s="2">
        <f>SUM(K4:K6)-MIN(K4:K6)</f>
        <v>1079.939446655805</v>
      </c>
      <c r="L7" s="11"/>
      <c r="M7" s="2">
        <f>SUM(M4:M6)-MIN(M4:M6)</f>
        <v>1064.2497905892324</v>
      </c>
      <c r="N7" s="12"/>
      <c r="O7" s="2">
        <f>SUM(O4:O5)-MIN(O4:O5)</f>
        <v>1127.402406657317</v>
      </c>
      <c r="P7" s="12"/>
      <c r="Q7" s="2">
        <f>SUM(Q4:Q6)-MIN(Q4:Q6)</f>
        <v>992.8017490306079</v>
      </c>
    </row>
    <row r="8" spans="1:17" ht="15.75">
      <c r="A8" s="10"/>
      <c r="B8" s="2"/>
      <c r="C8" s="5"/>
      <c r="D8" s="11">
        <v>22.6</v>
      </c>
      <c r="E8" s="3">
        <f>(((SQRT(D8)-0.35)/0.01052))</f>
        <v>418.62601992413363</v>
      </c>
      <c r="F8" s="11">
        <v>8.55</v>
      </c>
      <c r="G8" s="2">
        <f>((SQRT(F8)-1.425)/0.0037)</f>
        <v>405.14548741694296</v>
      </c>
      <c r="H8" s="11">
        <v>3.64</v>
      </c>
      <c r="I8" s="2">
        <f>((SQRT(H8)-1.15028)/0.00219)</f>
        <v>345.9353437597677</v>
      </c>
      <c r="J8" s="11">
        <v>13.25</v>
      </c>
      <c r="K8" s="2">
        <f>(((100/(J8+0.24))-4.341)/0.00676)</f>
        <v>454.4228466407287</v>
      </c>
      <c r="L8" s="11">
        <v>1.5</v>
      </c>
      <c r="M8" s="2">
        <f>((SQRT(L8)-0.841)/0.0008)</f>
        <v>479.6810892394862</v>
      </c>
      <c r="N8" s="12">
        <v>50.61</v>
      </c>
      <c r="O8" s="5">
        <f>(((400/(N8+0.14))-4.341)/0.00338)</f>
        <v>1047.5660943830705</v>
      </c>
      <c r="P8" s="12">
        <v>156</v>
      </c>
      <c r="Q8" s="5">
        <f>(((800/P8)-2.325)/0.00644)</f>
        <v>435.2802994107342</v>
      </c>
    </row>
    <row r="9" spans="1:17" ht="15.75">
      <c r="A9" s="10"/>
      <c r="B9" s="2"/>
      <c r="C9" s="5"/>
      <c r="D9" s="11">
        <v>24.6</v>
      </c>
      <c r="E9" s="3">
        <f>(((SQRT(D9)-0.35)/0.01052))</f>
        <v>438.1975957276519</v>
      </c>
      <c r="F9" s="11">
        <v>9.04</v>
      </c>
      <c r="G9" s="2">
        <f>((SQRT(F9)-1.425)/0.0037)</f>
        <v>427.47547991204897</v>
      </c>
      <c r="H9" s="11">
        <v>5.39</v>
      </c>
      <c r="I9" s="2">
        <f>((SQRT(H9)-1.15028)/0.00219)</f>
        <v>534.8663713464748</v>
      </c>
      <c r="J9" s="11">
        <v>13.14</v>
      </c>
      <c r="K9" s="2">
        <f>(((100/(J9+0.24))-4.341)/0.00676)</f>
        <v>463.43809978684067</v>
      </c>
      <c r="L9" s="11">
        <v>1.4</v>
      </c>
      <c r="M9" s="2">
        <f>((SQRT(L9)-0.841)/0.0008)</f>
        <v>427.769945774904</v>
      </c>
      <c r="N9" s="12"/>
      <c r="O9" s="5">
        <v>0</v>
      </c>
      <c r="P9" s="12">
        <v>154</v>
      </c>
      <c r="Q9" s="5">
        <f>(((800/P9)-2.325)/0.00644)</f>
        <v>445.6219246591917</v>
      </c>
    </row>
    <row r="10" spans="1:17" ht="15.75">
      <c r="A10" s="10"/>
      <c r="B10" s="2"/>
      <c r="C10" s="5"/>
      <c r="D10" s="11">
        <v>44.4</v>
      </c>
      <c r="E10" s="3">
        <f>(((SQRT(D10)-0.35)/0.01052))</f>
        <v>600.126663458467</v>
      </c>
      <c r="F10" s="11">
        <v>9.71</v>
      </c>
      <c r="G10" s="2">
        <f>((SQRT(F10)-1.425)/0.0037)</f>
        <v>457.05061896664233</v>
      </c>
      <c r="H10" s="11">
        <v>5.55</v>
      </c>
      <c r="I10" s="2">
        <f>((SQRT(H10)-1.15028)/0.00219)</f>
        <v>550.4857524556845</v>
      </c>
      <c r="J10" s="11">
        <v>12.6</v>
      </c>
      <c r="K10" s="2">
        <f>(((100/(J10+0.24))-4.341)/0.00676)</f>
        <v>509.93520617891573</v>
      </c>
      <c r="L10" s="11"/>
      <c r="M10" s="2">
        <v>0</v>
      </c>
      <c r="N10" s="12"/>
      <c r="O10" s="5">
        <v>0</v>
      </c>
      <c r="P10" s="12"/>
      <c r="Q10" s="5">
        <v>0</v>
      </c>
    </row>
    <row r="11" spans="1:17" ht="15.75">
      <c r="A11" s="10">
        <f>RANK(C11,C4:C23,0)</f>
        <v>3</v>
      </c>
      <c r="B11" s="6" t="s">
        <v>43</v>
      </c>
      <c r="C11" s="5">
        <f>SUM(E11:Q11)</f>
        <v>6817.495141300113</v>
      </c>
      <c r="D11" s="11"/>
      <c r="E11" s="2">
        <f>SUM(E8:E10)-MIN(E8:E10)</f>
        <v>1038.324259186119</v>
      </c>
      <c r="F11" s="11"/>
      <c r="G11" s="2">
        <f>SUM(G8:G10)-MIN(G8:G10)</f>
        <v>884.5260988786914</v>
      </c>
      <c r="H11" s="11"/>
      <c r="I11" s="2">
        <f>SUM(I8:I10)-MIN(I8:I10)</f>
        <v>1085.3521238021592</v>
      </c>
      <c r="J11" s="11"/>
      <c r="K11" s="2">
        <f>SUM(K8:K10)-MIN(K8:K10)</f>
        <v>973.3733059657563</v>
      </c>
      <c r="L11" s="11"/>
      <c r="M11" s="2">
        <f>SUM(M8:M10)-MIN(M8:M10)</f>
        <v>907.4510350143902</v>
      </c>
      <c r="N11" s="12"/>
      <c r="O11" s="2">
        <f>SUM(O8:O9)-MIN(O8:O9)</f>
        <v>1047.5660943830705</v>
      </c>
      <c r="P11" s="12"/>
      <c r="Q11" s="2">
        <f>SUM(Q8:Q10)-MIN(Q8:Q10)</f>
        <v>880.9022240699259</v>
      </c>
    </row>
    <row r="12" spans="1:17" ht="15.75">
      <c r="A12" s="10"/>
      <c r="B12" s="2"/>
      <c r="C12" s="5"/>
      <c r="D12" s="11">
        <v>25.6</v>
      </c>
      <c r="E12" s="3">
        <f>(((SQRT(D12)-0.35)/0.01052))</f>
        <v>447.6848152347346</v>
      </c>
      <c r="F12" s="11">
        <v>8.92</v>
      </c>
      <c r="G12" s="2">
        <f>((SQRT(F12)-1.425)/0.0037)</f>
        <v>422.0640282739502</v>
      </c>
      <c r="H12" s="11">
        <v>4.67</v>
      </c>
      <c r="I12" s="2">
        <f>((SQRT(H12)-1.15028)/0.00219)</f>
        <v>461.5243280810186</v>
      </c>
      <c r="J12" s="11">
        <v>13.98</v>
      </c>
      <c r="K12" s="2">
        <f>(((100/(J12+0.24))-4.341)/0.00676)</f>
        <v>398.1285213758436</v>
      </c>
      <c r="L12" s="11">
        <v>1.35</v>
      </c>
      <c r="M12" s="2">
        <f>((SQRT(L12)-0.841)/0.0008)</f>
        <v>401.1187548277814</v>
      </c>
      <c r="N12" s="12">
        <v>52.57</v>
      </c>
      <c r="O12" s="5">
        <f>(((400/(N12+0.14))-4.341)/0.00338)</f>
        <v>960.8558720878669</v>
      </c>
      <c r="P12" s="12">
        <v>173</v>
      </c>
      <c r="Q12" s="5">
        <f>(((800/P12)-2.325)/0.00644)</f>
        <v>357.030660970093</v>
      </c>
    </row>
    <row r="13" spans="1:17" ht="15.75">
      <c r="A13" s="10"/>
      <c r="B13" s="2"/>
      <c r="C13" s="5"/>
      <c r="D13" s="11">
        <v>34.8</v>
      </c>
      <c r="E13" s="3">
        <f>(((SQRT(D13)-0.35)/0.01052))</f>
        <v>527.4859773289971</v>
      </c>
      <c r="F13" s="11">
        <v>9</v>
      </c>
      <c r="G13" s="2">
        <f>((SQRT(F13)-1.425)/0.0037)</f>
        <v>425.6756756756756</v>
      </c>
      <c r="H13" s="11">
        <v>4.91</v>
      </c>
      <c r="I13" s="2">
        <f>((SQRT(H13)-1.15028)/0.00219)</f>
        <v>486.56254822649953</v>
      </c>
      <c r="J13" s="11">
        <v>12.94</v>
      </c>
      <c r="K13" s="2">
        <f>(((100/(J13+0.24))-4.341)/0.00676)</f>
        <v>480.2150021100646</v>
      </c>
      <c r="L13" s="11">
        <v>1.35</v>
      </c>
      <c r="M13" s="2">
        <f>((SQRT(L13)-0.841)/0.0008)</f>
        <v>401.1187548277814</v>
      </c>
      <c r="N13" s="12"/>
      <c r="O13" s="5">
        <v>0</v>
      </c>
      <c r="P13" s="12">
        <v>157</v>
      </c>
      <c r="Q13" s="5">
        <f>(((800/P13)-2.325)/0.00644)</f>
        <v>430.208292123274</v>
      </c>
    </row>
    <row r="14" spans="1:17" ht="15.75">
      <c r="A14" s="10"/>
      <c r="B14" s="2"/>
      <c r="C14" s="5"/>
      <c r="D14" s="11"/>
      <c r="E14" s="3">
        <v>0</v>
      </c>
      <c r="F14" s="11">
        <v>10.47</v>
      </c>
      <c r="G14" s="2">
        <f>((SQRT(F14)-1.425)/0.0037)</f>
        <v>489.38863174937495</v>
      </c>
      <c r="H14" s="11">
        <v>4.94</v>
      </c>
      <c r="I14" s="2">
        <f>((SQRT(H14)-1.15028)/0.00219)</f>
        <v>489.6488936480763</v>
      </c>
      <c r="J14" s="11">
        <v>12.76</v>
      </c>
      <c r="K14" s="2">
        <f>(((100/(J14+0.24))-4.341)/0.00676)</f>
        <v>495.75557578516157</v>
      </c>
      <c r="L14" s="11">
        <v>1.3</v>
      </c>
      <c r="M14" s="2">
        <f>((SQRT(L14)-0.841)/0.0008)</f>
        <v>373.96928137392257</v>
      </c>
      <c r="N14" s="12"/>
      <c r="O14" s="5">
        <v>0</v>
      </c>
      <c r="P14" s="12"/>
      <c r="Q14" s="5">
        <v>0</v>
      </c>
    </row>
    <row r="15" spans="1:17" ht="15.75">
      <c r="A15" s="10">
        <f>RANK(C15,C4:C23,0)</f>
        <v>5</v>
      </c>
      <c r="B15" s="6" t="s">
        <v>37</v>
      </c>
      <c r="C15" s="5">
        <f>SUM(E15:Q15)</f>
        <v>6392.749454595382</v>
      </c>
      <c r="D15" s="11"/>
      <c r="E15" s="2">
        <f>SUM(E12:E14)-MIN(E12:E14)</f>
        <v>975.1707925637318</v>
      </c>
      <c r="F15" s="11"/>
      <c r="G15" s="2">
        <f>SUM(G12:G14)-MIN(G12:G14)</f>
        <v>915.0643074250506</v>
      </c>
      <c r="H15" s="11"/>
      <c r="I15" s="2">
        <f>SUM(I12:I14)-MIN(I12:I14)</f>
        <v>976.2114418745759</v>
      </c>
      <c r="J15" s="11"/>
      <c r="K15" s="2">
        <f>SUM(K12:K14)-MIN(K12:K14)</f>
        <v>975.9705778952264</v>
      </c>
      <c r="L15" s="11"/>
      <c r="M15" s="2">
        <f>SUM(M12:M14)-MIN(M12:M14)</f>
        <v>802.2375096555629</v>
      </c>
      <c r="N15" s="12"/>
      <c r="O15" s="2">
        <f>SUM(O12:O13)-MIN(O12:O13)</f>
        <v>960.8558720878669</v>
      </c>
      <c r="P15" s="12"/>
      <c r="Q15" s="2">
        <f>SUM(Q12:Q14)-MIN(Q12:Q14)</f>
        <v>787.238953093367</v>
      </c>
    </row>
    <row r="16" spans="1:17" ht="15.75">
      <c r="A16" s="10"/>
      <c r="B16" s="2"/>
      <c r="C16" s="5"/>
      <c r="D16" s="11">
        <v>19.5</v>
      </c>
      <c r="E16" s="3">
        <f>(((SQRT(D16)-0.35)/0.01052))</f>
        <v>386.49053547185594</v>
      </c>
      <c r="F16" s="11">
        <v>9.19</v>
      </c>
      <c r="G16" s="2">
        <f>((SQRT(F16)-1.425)/0.0037)</f>
        <v>434.1895346607631</v>
      </c>
      <c r="H16" s="11">
        <v>4.4</v>
      </c>
      <c r="I16" s="2">
        <f>((SQRT(H16)-1.15028)/0.00219)</f>
        <v>432.5742905663485</v>
      </c>
      <c r="J16" s="11">
        <v>13.41</v>
      </c>
      <c r="K16" s="2">
        <f>(((100/(J16+0.24))-4.341)/0.00676)</f>
        <v>441.5691310661724</v>
      </c>
      <c r="L16" s="11">
        <v>1.6</v>
      </c>
      <c r="M16" s="2">
        <f>((SQRT(L16)-0.841)/0.0008)</f>
        <v>529.8888300841897</v>
      </c>
      <c r="N16" s="12">
        <v>51.81</v>
      </c>
      <c r="O16" s="5">
        <f>(((400/(N16+0.14))-4.341)/0.00338)</f>
        <v>993.7015564579048</v>
      </c>
      <c r="P16" s="12">
        <v>152</v>
      </c>
      <c r="Q16" s="5">
        <f>(((800/P16)-2.325)/0.00644)</f>
        <v>456.2356979405034</v>
      </c>
    </row>
    <row r="17" spans="1:17" ht="15.75">
      <c r="A17" s="10"/>
      <c r="B17" s="2"/>
      <c r="C17" s="5"/>
      <c r="D17" s="11">
        <v>28.3</v>
      </c>
      <c r="E17" s="3">
        <f>(((SQRT(D17)-0.35)/0.01052))</f>
        <v>472.4120181851858</v>
      </c>
      <c r="F17" s="11">
        <v>10.19</v>
      </c>
      <c r="G17" s="2">
        <f>((SQRT(F17)-1.425)/0.0037)</f>
        <v>477.615659433101</v>
      </c>
      <c r="H17" s="11">
        <v>4.96</v>
      </c>
      <c r="I17" s="2">
        <f>((SQRT(H17)-1.15028)/0.00219)</f>
        <v>491.70125348493553</v>
      </c>
      <c r="J17" s="11">
        <v>13.23</v>
      </c>
      <c r="K17" s="2">
        <f>(((100/(J17+0.24))-4.341)/0.00676)</f>
        <v>456.05103165922066</v>
      </c>
      <c r="L17" s="11">
        <v>1.45</v>
      </c>
      <c r="M17" s="2">
        <f>((SQRT(L17)-0.841)/0.0008)</f>
        <v>453.94932234903706</v>
      </c>
      <c r="N17" s="12">
        <v>54.33</v>
      </c>
      <c r="O17" s="5">
        <f>(((400/(N17+0.14))-4.341)/0.00338)</f>
        <v>888.3111924157805</v>
      </c>
      <c r="P17" s="12">
        <v>149</v>
      </c>
      <c r="Q17" s="5">
        <f>(((800/P17)-2.325)/0.00644)</f>
        <v>472.6906081954229</v>
      </c>
    </row>
    <row r="18" spans="1:17" ht="15.75">
      <c r="A18" s="10"/>
      <c r="B18" s="2"/>
      <c r="C18" s="5"/>
      <c r="D18" s="11">
        <v>39.3</v>
      </c>
      <c r="E18" s="3">
        <f>(((SQRT(D18)-0.35)/0.01052))</f>
        <v>562.6398486181552</v>
      </c>
      <c r="F18" s="11">
        <v>9.4</v>
      </c>
      <c r="G18" s="2">
        <f>((SQRT(F18)-1.425)/0.0037)</f>
        <v>443.49782252734553</v>
      </c>
      <c r="H18" s="11">
        <v>5.26</v>
      </c>
      <c r="I18" s="2">
        <f>((SQRT(H18)-1.15028)/0.00219)</f>
        <v>522.0041042173257</v>
      </c>
      <c r="J18" s="11">
        <v>13.12</v>
      </c>
      <c r="K18" s="2">
        <f>(((100/(J18+0.24))-4.341)/0.00676)</f>
        <v>465.0931864082486</v>
      </c>
      <c r="L18" s="11">
        <v>1.45</v>
      </c>
      <c r="M18" s="2">
        <f>((SQRT(L18)-0.841)/0.0008)</f>
        <v>453.94932234903706</v>
      </c>
      <c r="N18" s="12"/>
      <c r="O18" s="5">
        <v>0</v>
      </c>
      <c r="P18" s="12">
        <v>140</v>
      </c>
      <c r="Q18" s="5">
        <f>(((800/P18)-2.325)/0.00644)</f>
        <v>526.2866015971606</v>
      </c>
    </row>
    <row r="19" spans="1:17" ht="15.75">
      <c r="A19" s="10">
        <f>RANK(C19,C4:C23,0)</f>
        <v>2</v>
      </c>
      <c r="B19" s="6" t="s">
        <v>48</v>
      </c>
      <c r="C19" s="5">
        <f>SUM(E19:Q19)</f>
        <v>6867.5318432172335</v>
      </c>
      <c r="D19" s="11"/>
      <c r="E19" s="2">
        <f>SUM(E16:E18)-MIN(E16:E18)</f>
        <v>1035.0518668033408</v>
      </c>
      <c r="F19" s="11"/>
      <c r="G19" s="2">
        <f>SUM(G16:G18)-MIN(G16:G18)</f>
        <v>921.1134819604466</v>
      </c>
      <c r="H19" s="11"/>
      <c r="I19" s="2">
        <f>SUM(I16:I18)-MIN(I16:I18)</f>
        <v>1013.7053577022612</v>
      </c>
      <c r="J19" s="11"/>
      <c r="K19" s="2">
        <f>SUM(K16:K18)-MIN(K16:K18)</f>
        <v>921.1442180674693</v>
      </c>
      <c r="L19" s="11"/>
      <c r="M19" s="2">
        <f>SUM(M16:M18)-MIN(M16:M18)</f>
        <v>983.8381524332268</v>
      </c>
      <c r="N19" s="12"/>
      <c r="O19" s="2">
        <f>SUM(O16:O17)-MIN(O16:O17)</f>
        <v>993.7015564579048</v>
      </c>
      <c r="P19" s="12"/>
      <c r="Q19" s="2">
        <f>SUM(Q16:Q18)-MIN(Q16:Q18)</f>
        <v>998.9772097925835</v>
      </c>
    </row>
    <row r="20" spans="1:17" ht="15.75">
      <c r="A20" s="10"/>
      <c r="B20" s="2"/>
      <c r="C20" s="5"/>
      <c r="D20" s="11">
        <v>22.1</v>
      </c>
      <c r="E20" s="3">
        <f>(((SQRT(D20)-0.35)/0.01052))</f>
        <v>413.59921192179314</v>
      </c>
      <c r="F20" s="11">
        <v>8.85</v>
      </c>
      <c r="G20" s="2">
        <f>((SQRT(F20)-1.425)/0.0037)</f>
        <v>418.8905286834333</v>
      </c>
      <c r="H20" s="11">
        <v>5.45</v>
      </c>
      <c r="I20" s="2">
        <f>((SQRT(H20)-1.15028)/0.00219)</f>
        <v>540.750459354224</v>
      </c>
      <c r="J20" s="11">
        <v>13.78</v>
      </c>
      <c r="K20" s="2">
        <f>(((100/(J20+0.24))-4.341)/0.00676)</f>
        <v>412.9685824983751</v>
      </c>
      <c r="L20" s="11">
        <v>1.3</v>
      </c>
      <c r="M20" s="2">
        <f>((SQRT(L20)-0.841)/0.0008)</f>
        <v>373.96928137392257</v>
      </c>
      <c r="N20" s="12">
        <v>53.34</v>
      </c>
      <c r="O20" s="5">
        <f>(((400/(N20+0.14))-4.341)/0.00338)</f>
        <v>928.5300482843774</v>
      </c>
      <c r="P20" s="12">
        <v>164</v>
      </c>
      <c r="Q20" s="5">
        <f>(((800/P20)-2.325)/0.00644)</f>
        <v>396.43614603847897</v>
      </c>
    </row>
    <row r="21" spans="1:17" ht="15.75">
      <c r="A21" s="10"/>
      <c r="B21" s="2"/>
      <c r="C21" s="5"/>
      <c r="D21" s="11">
        <v>24.3</v>
      </c>
      <c r="E21" s="3">
        <f>(((SQRT(D21)-0.35)/0.01052))</f>
        <v>435.31397505194826</v>
      </c>
      <c r="F21" s="11">
        <v>9.09</v>
      </c>
      <c r="G21" s="2">
        <f>((SQRT(F21)-1.425)/0.0037)</f>
        <v>429.7196449557478</v>
      </c>
      <c r="H21" s="11">
        <v>4.61</v>
      </c>
      <c r="I21" s="2">
        <f>((SQRT(H21)-1.15028)/0.00219)</f>
        <v>455.1648654604516</v>
      </c>
      <c r="J21" s="11">
        <v>13.34</v>
      </c>
      <c r="K21" s="2">
        <f>(((100/(J21+0.24))-4.341)/0.00676)</f>
        <v>447.15536248050114</v>
      </c>
      <c r="L21" s="11">
        <v>1.4</v>
      </c>
      <c r="M21" s="2">
        <f>((SQRT(L21)-0.841)/0.0008)</f>
        <v>427.769945774904</v>
      </c>
      <c r="N21" s="12"/>
      <c r="O21" s="5">
        <v>0</v>
      </c>
      <c r="P21" s="12">
        <v>160</v>
      </c>
      <c r="Q21" s="5">
        <f>(((800/P21)-2.325)/0.00644)</f>
        <v>415.37267080745335</v>
      </c>
    </row>
    <row r="22" spans="1:17" ht="15.75">
      <c r="A22" s="10"/>
      <c r="B22" s="2"/>
      <c r="C22" s="5"/>
      <c r="D22" s="11">
        <v>27</v>
      </c>
      <c r="E22" s="3">
        <f>(((SQRT(D22)-0.35)/0.01052))</f>
        <v>460.66087668314</v>
      </c>
      <c r="F22" s="11">
        <v>10.23</v>
      </c>
      <c r="G22" s="2">
        <f>((SQRT(F22)-1.425)/0.0037)</f>
        <v>479.3073292821338</v>
      </c>
      <c r="H22" s="11">
        <v>4.68</v>
      </c>
      <c r="I22" s="2">
        <f>((SQRT(H22)-1.15028)/0.00219)</f>
        <v>462.5802581179878</v>
      </c>
      <c r="J22" s="11">
        <v>12.21</v>
      </c>
      <c r="K22" s="2">
        <f>(((100/(J22+0.24))-4.341)/0.00676)</f>
        <v>546.0249281148259</v>
      </c>
      <c r="L22" s="11">
        <v>1.55</v>
      </c>
      <c r="M22" s="2">
        <f>((SQRT(L22)-0.841)/0.0008)</f>
        <v>504.9874497485915</v>
      </c>
      <c r="N22" s="12"/>
      <c r="O22" s="5">
        <v>0</v>
      </c>
      <c r="P22" s="12">
        <v>137</v>
      </c>
      <c r="Q22" s="5">
        <f>(((800/P22)-2.325)/0.00644)</f>
        <v>545.7167792537516</v>
      </c>
    </row>
    <row r="23" spans="1:17" ht="15.75">
      <c r="A23" s="10">
        <f>RANK(C23,C4:C23,0)</f>
        <v>4</v>
      </c>
      <c r="B23" s="6" t="s">
        <v>46</v>
      </c>
      <c r="C23" s="5">
        <f>SUM(E23:Q23)</f>
        <v>6623.889727909587</v>
      </c>
      <c r="D23" s="11"/>
      <c r="E23" s="2">
        <f>SUM(E20:E22)-MIN(E20:E22)</f>
        <v>895.9748517350884</v>
      </c>
      <c r="F23" s="11"/>
      <c r="G23" s="2">
        <f>SUM(G20:G22)-MIN(G20:G22)</f>
        <v>909.0269742378816</v>
      </c>
      <c r="H23" s="11"/>
      <c r="I23" s="2">
        <f>SUM(I20:I22)-MIN(I20:I22)</f>
        <v>1003.3307174722117</v>
      </c>
      <c r="J23" s="11"/>
      <c r="K23" s="2">
        <f>SUM(K20:K22)-MIN(K20:K22)</f>
        <v>993.180290595327</v>
      </c>
      <c r="L23" s="11"/>
      <c r="M23" s="2">
        <f>SUM(M20:M22)-MIN(M20:M22)</f>
        <v>932.7573955234955</v>
      </c>
      <c r="N23" s="12"/>
      <c r="O23" s="2">
        <f>SUM(O20:O21)-MIN(O20:O21)</f>
        <v>928.5300482843774</v>
      </c>
      <c r="P23" s="12"/>
      <c r="Q23" s="2">
        <f>SUM(Q20:Q22)-MIN(Q20:Q22)</f>
        <v>961.0894500612051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32" sqref="G32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54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tr">
        <f>'WK II m'!B7</f>
        <v>Gym Marienberg</v>
      </c>
      <c r="C5" s="23">
        <f>SUM('WK II m'!E11,'WK II m'!G11,'WK II m'!I11)</f>
        <v>3008.2024818669697</v>
      </c>
      <c r="D5" s="23"/>
      <c r="E5" s="22"/>
      <c r="F5" s="22" t="s">
        <v>30</v>
      </c>
      <c r="G5" s="23" t="str">
        <f>'WK II w'!B11</f>
        <v>Gym Zschopau</v>
      </c>
      <c r="H5" s="23">
        <f>SUM('WK II w'!E11,'WK II w'!G11,'WK II w'!I11)</f>
        <v>2848.157182162651</v>
      </c>
      <c r="I5" s="23"/>
      <c r="J5" s="18"/>
    </row>
    <row r="6" spans="1:10" ht="15.75">
      <c r="A6" s="22" t="s">
        <v>31</v>
      </c>
      <c r="B6" s="23" t="str">
        <f>'WK II m'!B11</f>
        <v>Gym Olbernhau</v>
      </c>
      <c r="C6" s="23">
        <f>SUM('WK II m'!E7,'WK II m'!G7,'WK II m'!I7)</f>
        <v>2983.1633176600326</v>
      </c>
      <c r="D6" s="23"/>
      <c r="E6" s="22"/>
      <c r="F6" s="22" t="s">
        <v>31</v>
      </c>
      <c r="G6" s="23" t="str">
        <f>'WK II w'!B7</f>
        <v>Gymn Olbernhau</v>
      </c>
      <c r="H6" s="23">
        <f>SUM('WK II w'!E7,'WK II w'!G7,'WK II w'!I7)</f>
        <v>1976.8894944322717</v>
      </c>
      <c r="I6" s="23"/>
      <c r="J6" s="18"/>
    </row>
    <row r="7" spans="1:10" ht="15.75">
      <c r="A7" s="22" t="s">
        <v>32</v>
      </c>
      <c r="B7" s="29" t="str">
        <f>'WK II m'!B19</f>
        <v>OS Bergstadt Schneeberg</v>
      </c>
      <c r="C7" s="23">
        <f>SUM('WK II m'!E19,'WK II m'!G19,'WK II m'!I19)</f>
        <v>2969.8707064660484</v>
      </c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27" t="str">
        <f>'WK II m'!B15</f>
        <v>OS "Trebra" Marienberg</v>
      </c>
      <c r="C8" s="23">
        <f>SUM('WK II m'!E15,'WK II m'!G15,'WK II m'!I15)</f>
        <v>2866.446541863358</v>
      </c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 t="str">
        <f>'WK II m'!B23</f>
        <v>OS Eibenstock</v>
      </c>
      <c r="C9" s="23">
        <f>SUM('WK II m'!E23,'WK II m'!G23,'WK II m'!I23)</f>
        <v>2808.3325434451817</v>
      </c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tr">
        <f>'WK III m'!B15</f>
        <v>OS Olbernhau</v>
      </c>
      <c r="C15" s="23">
        <f>SUM('WK III m'!E15,'WK III m'!G15,'WK III m'!I15)</f>
        <v>2974.881849850048</v>
      </c>
      <c r="D15" s="23"/>
      <c r="E15" s="22"/>
      <c r="F15" s="22" t="s">
        <v>30</v>
      </c>
      <c r="G15" s="23" t="str">
        <f>'WK III w'!B7</f>
        <v>Gym Marienberg</v>
      </c>
      <c r="H15" s="23">
        <f>SUM('WK III w'!E7,'WK III w'!G7,'WK III w'!I7)</f>
        <v>2639.3133252444586</v>
      </c>
      <c r="I15" s="23"/>
      <c r="J15" s="18"/>
    </row>
    <row r="16" spans="1:10" ht="15.75">
      <c r="A16" s="22" t="s">
        <v>31</v>
      </c>
      <c r="B16" s="23" t="str">
        <f>'WK III m'!B19</f>
        <v>OS Auerbach</v>
      </c>
      <c r="C16" s="23">
        <f>SUM('WK III m'!E19,'WK III m'!G19,'WK III m'!I19)</f>
        <v>2656.5388422191418</v>
      </c>
      <c r="D16" s="23"/>
      <c r="E16" s="22"/>
      <c r="F16" s="22" t="s">
        <v>31</v>
      </c>
      <c r="G16" s="23" t="str">
        <f>'WK III w'!B23</f>
        <v>OS Bebel Zschopau</v>
      </c>
      <c r="H16" s="23">
        <f>SUM('WK III w'!E23,'WK III w'!G23,'WK III w'!I23)</f>
        <v>2535.787677225502</v>
      </c>
      <c r="I16" s="23"/>
      <c r="J16" s="18"/>
    </row>
    <row r="17" spans="1:10" ht="15.75">
      <c r="A17" s="22" t="s">
        <v>32</v>
      </c>
      <c r="B17" s="23" t="str">
        <f>'WK III m'!B11</f>
        <v>OS Lengefeld</v>
      </c>
      <c r="C17" s="23">
        <f>SUM('WK III m'!E11,'WK III m'!G11,'WK III m'!I11)</f>
        <v>2642.0174157333236</v>
      </c>
      <c r="D17" s="23"/>
      <c r="E17" s="22"/>
      <c r="F17" s="22" t="s">
        <v>32</v>
      </c>
      <c r="G17" s="23" t="str">
        <f>'WK III w'!B19</f>
        <v>OS Olbernhau</v>
      </c>
      <c r="H17" s="23">
        <f>SUM('WK III w'!E19,'WK III w'!G19,'WK III w'!I19)</f>
        <v>2484.495706657821</v>
      </c>
      <c r="I17" s="23"/>
      <c r="J17" s="18"/>
    </row>
    <row r="18" spans="1:10" ht="15.75">
      <c r="A18" s="22" t="s">
        <v>33</v>
      </c>
      <c r="B18" s="23" t="str">
        <f>'WK III m'!B7</f>
        <v>OS "Trebra" Marienberg</v>
      </c>
      <c r="C18" s="23">
        <f>SUM('WK III m'!E7,'WK III m'!G7,'WK III m'!I7)</f>
        <v>2563.9849624766257</v>
      </c>
      <c r="D18" s="23"/>
      <c r="E18" s="22"/>
      <c r="F18" s="22" t="s">
        <v>33</v>
      </c>
      <c r="G18" s="23" t="str">
        <f>'WK III w'!B27</f>
        <v>OS Bergstadt Schneeberg</v>
      </c>
      <c r="H18" s="23">
        <f>SUM('WK III w'!E27,'WK III w'!G27,'WK III w'!I27)</f>
        <v>2475.2462893336133</v>
      </c>
      <c r="I18" s="23"/>
      <c r="J18" s="18"/>
    </row>
    <row r="19" spans="1:10" ht="15.75">
      <c r="A19" s="22" t="s">
        <v>34</v>
      </c>
      <c r="B19" s="23"/>
      <c r="C19" s="23"/>
      <c r="D19" s="23"/>
      <c r="E19" s="22"/>
      <c r="F19" s="22" t="s">
        <v>34</v>
      </c>
      <c r="G19" s="23" t="str">
        <f>'WK III w'!B15</f>
        <v>OS Eibenstock</v>
      </c>
      <c r="H19" s="23">
        <f>SUM('WK III w'!E15,'WK III w'!G15,'WK III w'!I15)</f>
        <v>2354.183654700818</v>
      </c>
      <c r="I19" s="22"/>
      <c r="J19" s="18"/>
    </row>
    <row r="20" spans="1:10" ht="15.75">
      <c r="A20" s="22" t="s">
        <v>35</v>
      </c>
      <c r="B20" s="23"/>
      <c r="C20" s="23"/>
      <c r="D20" s="22"/>
      <c r="E20" s="22"/>
      <c r="F20" s="22" t="s">
        <v>35</v>
      </c>
      <c r="G20" s="23" t="str">
        <f>'WK III w'!B11</f>
        <v>Gym Olbernhau</v>
      </c>
      <c r="H20" s="23">
        <f>SUM('WK III w'!E11,'WK III w'!G11,'WK III w'!I11)</f>
        <v>2227.777283459749</v>
      </c>
      <c r="I20" s="22"/>
      <c r="J20" s="18"/>
    </row>
    <row r="21" spans="1:10" ht="15.75">
      <c r="A21" s="22" t="s">
        <v>39</v>
      </c>
      <c r="B21" s="23"/>
      <c r="C21" s="23"/>
      <c r="D21" s="22"/>
      <c r="E21" s="22"/>
      <c r="F21" s="22" t="s">
        <v>39</v>
      </c>
      <c r="G21" s="23" t="str">
        <f>'WK III w'!B31</f>
        <v>OS Auerbach</v>
      </c>
      <c r="H21" s="23">
        <f>SUM('WK III w'!E31,'WK III w'!G31,'WK III w'!I31)</f>
        <v>2226.943744664328</v>
      </c>
      <c r="I21" s="22"/>
      <c r="J21" s="18"/>
    </row>
    <row r="22" spans="1:10" ht="15.75">
      <c r="A22" s="22"/>
      <c r="B22" s="22"/>
      <c r="C22" s="23"/>
      <c r="D22" s="22"/>
      <c r="E22" s="22"/>
      <c r="F22" s="22" t="s">
        <v>47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tr">
        <f>'WK IV m'!B7</f>
        <v>Gym Marienberg</v>
      </c>
      <c r="C26" s="23">
        <f>SUM('WK IV m'!E7,'WK IV m'!G7,'WK IV m'!I7)</f>
        <v>2113.552219075335</v>
      </c>
      <c r="D26" s="22"/>
      <c r="E26" s="22"/>
      <c r="F26" s="22" t="s">
        <v>30</v>
      </c>
      <c r="G26" s="23" t="str">
        <f>'WK IV w'!B7</f>
        <v>Gym Marienberg</v>
      </c>
      <c r="H26" s="23">
        <f>SUM('WK IV w'!E7,'WK IV w'!G7,'WK IV w'!I7)</f>
        <v>2208.775297009439</v>
      </c>
      <c r="I26" s="23"/>
      <c r="J26" s="18"/>
    </row>
    <row r="27" spans="1:10" ht="15.75">
      <c r="A27" s="22" t="s">
        <v>31</v>
      </c>
      <c r="B27" s="23" t="str">
        <f>'WK IV m'!B31</f>
        <v>OS Eibenstock</v>
      </c>
      <c r="C27" s="23">
        <f>SUM('WK IV m'!E31,'WK IV m'!G31,'WK IV m'!I31)</f>
        <v>2073.0391953248927</v>
      </c>
      <c r="D27" s="23"/>
      <c r="E27" s="22"/>
      <c r="F27" s="22" t="s">
        <v>31</v>
      </c>
      <c r="G27" s="23" t="str">
        <f>'WK IV w'!B15</f>
        <v>OS Auerbach</v>
      </c>
      <c r="H27" s="23">
        <f>SUM('WK IV w'!E15,'WK IV w'!G15,'WK IV w'!I15)</f>
        <v>2129.8876625595813</v>
      </c>
      <c r="I27" s="23"/>
      <c r="J27" s="18"/>
    </row>
    <row r="28" spans="1:10" ht="15.75">
      <c r="A28" s="22" t="s">
        <v>32</v>
      </c>
      <c r="B28" s="23" t="str">
        <f>'WK IV m'!B15</f>
        <v>LKG Annaberg</v>
      </c>
      <c r="C28" s="23">
        <f>SUM('WK IV m'!E15,'WK IV m'!G15,'WK IV m'!I15)</f>
        <v>2003.897109295543</v>
      </c>
      <c r="D28" s="23"/>
      <c r="E28" s="22"/>
      <c r="F28" s="22" t="s">
        <v>32</v>
      </c>
      <c r="G28" s="23" t="str">
        <f>'WK IV w'!B19</f>
        <v>LKG Annaberg</v>
      </c>
      <c r="H28" s="23">
        <f>SUM('WK IV w'!E19,'WK IV w'!G19,'WK IV w'!I19)</f>
        <v>2021.8336295916538</v>
      </c>
      <c r="I28" s="23"/>
      <c r="J28" s="18"/>
    </row>
    <row r="29" spans="1:10" ht="15.75">
      <c r="A29" s="22" t="s">
        <v>33</v>
      </c>
      <c r="B29" s="28" t="str">
        <f>'WK IV m'!B19</f>
        <v>OS Jöhstadt</v>
      </c>
      <c r="C29" s="23">
        <f>SUM('WK IV m'!E19,'WK IV m'!G19,'WK IV m'!I19)</f>
        <v>1983.9761524329604</v>
      </c>
      <c r="D29" s="23"/>
      <c r="E29" s="22"/>
      <c r="F29" s="22" t="s">
        <v>33</v>
      </c>
      <c r="G29" s="23" t="str">
        <f>'WK IV w'!B11</f>
        <v>Gym Olbernhau</v>
      </c>
      <c r="H29" s="23">
        <f>SUM('WK IV w'!E11,'WK IV w'!G11,'WK IV w'!I11)</f>
        <v>1886.1287284755201</v>
      </c>
      <c r="I29" s="23"/>
      <c r="J29" s="18"/>
    </row>
    <row r="30" spans="1:10" ht="15.75">
      <c r="A30" s="22" t="s">
        <v>34</v>
      </c>
      <c r="B30" s="23" t="str">
        <f>'WK IV m'!B23</f>
        <v>OS Bergstadt Schneeberg</v>
      </c>
      <c r="C30" s="23">
        <f>SUM('WK IV m'!E23,'WK IV m'!G23,'WK IV m'!I23)</f>
        <v>1975.8688366241424</v>
      </c>
      <c r="D30" s="23"/>
      <c r="E30" s="22"/>
      <c r="F30" s="22" t="s">
        <v>34</v>
      </c>
      <c r="G30" s="30"/>
      <c r="H30" s="23"/>
      <c r="I30" s="23"/>
      <c r="J30" s="18"/>
    </row>
    <row r="31" spans="1:10" ht="15.75">
      <c r="A31" s="22" t="s">
        <v>35</v>
      </c>
      <c r="B31" s="23" t="str">
        <f>'WK IV m'!B27</f>
        <v>OS Auerbach</v>
      </c>
      <c r="C31" s="23">
        <f>SUM('WK IV m'!E27,'WK IV m'!G27,'WK IV m'!I27)</f>
        <v>1728.5092548363882</v>
      </c>
      <c r="D31" s="23"/>
      <c r="E31" s="22"/>
      <c r="F31" s="22"/>
      <c r="G31" s="22"/>
      <c r="H31" s="23"/>
      <c r="I31" s="23"/>
      <c r="J31" s="18"/>
    </row>
    <row r="32" spans="1:10" ht="15.75">
      <c r="A32" s="22" t="s">
        <v>39</v>
      </c>
      <c r="B32" s="23" t="str">
        <f>'WK IV m'!B11</f>
        <v>Gym Olbernhau</v>
      </c>
      <c r="C32" s="23">
        <f>SUM('WK IV m'!E11,'WK IV m'!G11,'WK IV m'!I11)</f>
        <v>1432.1701580271606</v>
      </c>
      <c r="D32" s="22"/>
      <c r="E32" s="22"/>
      <c r="F32" s="22"/>
      <c r="G32" s="22"/>
      <c r="H32" s="23"/>
      <c r="I32" s="26"/>
      <c r="J32" s="18"/>
    </row>
    <row r="33" spans="1:10" ht="15.75">
      <c r="A33" s="22" t="s">
        <v>47</v>
      </c>
      <c r="B33" s="30"/>
      <c r="C33" s="23"/>
      <c r="D33" s="22"/>
      <c r="E33" s="22"/>
      <c r="F33" s="26"/>
      <c r="G33" s="26"/>
      <c r="H33" s="23"/>
      <c r="I33" s="26"/>
      <c r="J33" s="18"/>
    </row>
  </sheetData>
  <sheetProtection/>
  <printOptions/>
  <pageMargins left="0.7086614173228347" right="0.57" top="0.3937007874015748" bottom="0.393700787401574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25" sqref="G25:H29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55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tr">
        <f>'WK II m'!B11</f>
        <v>Gym Olbernhau</v>
      </c>
      <c r="C5" s="23">
        <f>SUM('WK II m'!E7,'WK II m'!G7,'WK II m'!I7,'WK II m'!K7)</f>
        <v>4063.1027643158377</v>
      </c>
      <c r="D5" s="23"/>
      <c r="E5" s="22"/>
      <c r="F5" s="22" t="s">
        <v>30</v>
      </c>
      <c r="G5" s="23" t="str">
        <f>'WK II w'!B11</f>
        <v>Gym Zschopau</v>
      </c>
      <c r="H5" s="23">
        <f>SUM('WK II w'!E11,'WK II w'!G11,'WK II w'!K11,'WK II w'!I11)</f>
        <v>3747.6457738551253</v>
      </c>
      <c r="I5" s="23"/>
      <c r="J5" s="18"/>
    </row>
    <row r="6" spans="1:10" ht="15.75">
      <c r="A6" s="22" t="s">
        <v>31</v>
      </c>
      <c r="B6" s="23" t="str">
        <f>'WK II m'!B7</f>
        <v>Gym Marienberg</v>
      </c>
      <c r="C6" s="23">
        <f>SUM('WK II m'!E11,'WK II m'!G11,'WK II m'!I11,'WK II m'!K11)</f>
        <v>3981.575787832726</v>
      </c>
      <c r="D6" s="23"/>
      <c r="E6" s="22"/>
      <c r="F6" s="22" t="s">
        <v>31</v>
      </c>
      <c r="G6" s="23" t="str">
        <f>'WK II w'!B7</f>
        <v>Gymn Olbernhau</v>
      </c>
      <c r="H6" s="23">
        <f>SUM('WK II w'!E7,'WK II w'!G7,'WK II w'!K7,'WK II w'!I7)</f>
        <v>2791.5660433185512</v>
      </c>
      <c r="I6" s="23"/>
      <c r="J6" s="18"/>
    </row>
    <row r="7" spans="1:10" ht="15.75">
      <c r="A7" s="22" t="s">
        <v>32</v>
      </c>
      <c r="B7" s="28" t="str">
        <f>'WK II m'!B19</f>
        <v>OS Bergstadt Schneeberg</v>
      </c>
      <c r="C7" s="23">
        <f>SUM('WK II m'!E19,'WK II m'!G19,'WK II m'!I19,'WK II m'!K19)</f>
        <v>3891.014924533518</v>
      </c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32" t="str">
        <f>'WK II m'!B15</f>
        <v>OS "Trebra" Marienberg</v>
      </c>
      <c r="C8" s="23">
        <f>SUM('WK II m'!E15,'WK II m'!G15,'WK II m'!I15,'WK II m'!K15)</f>
        <v>3842.4171197585847</v>
      </c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 t="str">
        <f>'WK II m'!B23</f>
        <v>OS Eibenstock</v>
      </c>
      <c r="C9" s="23">
        <f>SUM('WK II m'!E23,'WK II m'!G23,'WK II m'!I23,'WK II m'!K23)</f>
        <v>3801.512834040509</v>
      </c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tr">
        <f>'WK III m'!B15</f>
        <v>OS Olbernhau</v>
      </c>
      <c r="C15" s="23">
        <f>SUM('WK III m'!E15,'WK III m'!G15,'WK III m'!I15,'WK III m'!K15)</f>
        <v>3887.4275115555156</v>
      </c>
      <c r="D15" s="23"/>
      <c r="E15" s="22"/>
      <c r="F15" s="22" t="s">
        <v>30</v>
      </c>
      <c r="G15" s="23" t="str">
        <f>'WK III w'!B7</f>
        <v>Gym Marienberg</v>
      </c>
      <c r="H15" s="23">
        <f>SUM('WK III w'!E7,'WK III w'!G7,'WK III w'!I7,'WK III w'!K7)</f>
        <v>3503.9151084297773</v>
      </c>
      <c r="I15" s="23"/>
      <c r="J15" s="18"/>
    </row>
    <row r="16" spans="1:10" ht="15.75">
      <c r="A16" s="22" t="s">
        <v>31</v>
      </c>
      <c r="B16" s="23" t="str">
        <f>'WK III m'!B19</f>
        <v>OS Auerbach</v>
      </c>
      <c r="C16" s="23">
        <f>SUM('WK III m'!E19,'WK III m'!G19,'WK III m'!I19,'WK III m'!K19)</f>
        <v>3557.61680279578</v>
      </c>
      <c r="D16" s="23"/>
      <c r="E16" s="22"/>
      <c r="F16" s="22" t="s">
        <v>31</v>
      </c>
      <c r="G16" s="23" t="str">
        <f>'WK III w'!B23</f>
        <v>OS Bebel Zschopau</v>
      </c>
      <c r="H16" s="23">
        <f>SUM('WK III w'!E23,'WK III w'!G23,'WK III w'!I23,'WK III w'!K23)</f>
        <v>3266.389756415256</v>
      </c>
      <c r="I16" s="23"/>
      <c r="J16" s="18"/>
    </row>
    <row r="17" spans="1:10" ht="15.75">
      <c r="A17" s="22" t="s">
        <v>32</v>
      </c>
      <c r="B17" s="23" t="str">
        <f>'WK III m'!B11</f>
        <v>OS Lengefeld</v>
      </c>
      <c r="C17" s="23">
        <f>SUM('WK III m'!E11,'WK III m'!G11,'WK III m'!I11,'WK III m'!K11)</f>
        <v>3523.736683857265</v>
      </c>
      <c r="D17" s="23"/>
      <c r="E17" s="22"/>
      <c r="F17" s="22" t="s">
        <v>32</v>
      </c>
      <c r="G17" s="23" t="str">
        <f>'WK III w'!B19</f>
        <v>OS Olbernhau</v>
      </c>
      <c r="H17" s="23">
        <f>SUM('WK III w'!E19,'WK III w'!G19,'WK III w'!I19,'WK III w'!K19)</f>
        <v>3215.0977858475753</v>
      </c>
      <c r="I17" s="23"/>
      <c r="J17" s="18"/>
    </row>
    <row r="18" spans="1:10" ht="15.75">
      <c r="A18" s="22" t="s">
        <v>33</v>
      </c>
      <c r="B18" s="23" t="str">
        <f>'WK III m'!B7</f>
        <v>OS "Trebra" Marienberg</v>
      </c>
      <c r="C18" s="23">
        <f>SUM('WK III m'!E7,'WK III m'!G7,'WK III m'!I7,'WK III m'!K7)</f>
        <v>3284.246729787917</v>
      </c>
      <c r="D18" s="23"/>
      <c r="E18" s="22"/>
      <c r="F18" s="22" t="s">
        <v>33</v>
      </c>
      <c r="G18" s="23" t="str">
        <f>'WK III w'!B27</f>
        <v>OS Bergstadt Schneeberg</v>
      </c>
      <c r="H18" s="23">
        <f>SUM('WK III w'!E27,'WK III w'!G27,'WK III w'!I27,'WK III w'!K27)</f>
        <v>3140.0685007457114</v>
      </c>
      <c r="I18" s="23"/>
      <c r="J18" s="18"/>
    </row>
    <row r="19" spans="1:10" ht="15.75">
      <c r="A19" s="22" t="s">
        <v>34</v>
      </c>
      <c r="B19" s="23"/>
      <c r="C19" s="23"/>
      <c r="D19" s="23"/>
      <c r="E19" s="22"/>
      <c r="F19" s="22" t="s">
        <v>34</v>
      </c>
      <c r="G19" s="23" t="str">
        <f>'WK III w'!B31</f>
        <v>OS Auerbach</v>
      </c>
      <c r="H19" s="23">
        <f>SUM('WK III w'!E31,'WK III w'!G31,'WK III w'!I31,'WK III w'!K31)</f>
        <v>2957.545823854082</v>
      </c>
      <c r="I19" s="22"/>
      <c r="J19" s="18"/>
    </row>
    <row r="20" spans="1:10" ht="15.75">
      <c r="A20" s="22" t="s">
        <v>35</v>
      </c>
      <c r="B20" s="23"/>
      <c r="C20" s="23"/>
      <c r="D20" s="22"/>
      <c r="E20" s="22"/>
      <c r="F20" s="22" t="s">
        <v>35</v>
      </c>
      <c r="G20" s="23" t="str">
        <f>'WK III w'!B11</f>
        <v>Gym Olbernhau</v>
      </c>
      <c r="H20" s="23">
        <f>SUM('WK III w'!E11,'WK III w'!G11,'WK III w'!I11,'WK III w'!K11)</f>
        <v>2925.8184268417926</v>
      </c>
      <c r="I20" s="22"/>
      <c r="J20" s="18"/>
    </row>
    <row r="21" spans="1:10" ht="15.75">
      <c r="A21" s="22" t="s">
        <v>39</v>
      </c>
      <c r="B21" s="23"/>
      <c r="C21" s="23"/>
      <c r="D21" s="22"/>
      <c r="E21" s="22"/>
      <c r="F21" s="22" t="s">
        <v>39</v>
      </c>
      <c r="G21" s="23" t="str">
        <f>'WK III w'!B15</f>
        <v>OS Eibenstock</v>
      </c>
      <c r="H21" s="23">
        <f>SUM('WK III w'!E15,'WK III w'!G15,'WK III w'!I15,'WK III w'!K15)</f>
        <v>2883.2856806515715</v>
      </c>
      <c r="I21" s="22"/>
      <c r="J21" s="18"/>
    </row>
    <row r="22" spans="1:10" ht="15.75">
      <c r="A22" s="22"/>
      <c r="B22" s="22"/>
      <c r="C22" s="23"/>
      <c r="D22" s="22"/>
      <c r="E22" s="22"/>
      <c r="F22" s="22" t="s">
        <v>47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tr">
        <f>'WK IV m'!B7</f>
        <v>Gym Marienberg</v>
      </c>
      <c r="C26" s="23">
        <f>SUM('WK IV m'!E7,'WK IV m'!G7,'WK IV m'!I7,'WK IV m'!K7)</f>
        <v>2898.571939272451</v>
      </c>
      <c r="D26" s="22"/>
      <c r="E26" s="22"/>
      <c r="F26" s="22" t="s">
        <v>30</v>
      </c>
      <c r="G26" s="23" t="str">
        <f>'WK IV w'!B7</f>
        <v>Gym Marienberg</v>
      </c>
      <c r="H26" s="23">
        <f>SUM('WK IV w'!E7,'WK IV w'!G7,'WK IV w'!I7,'WK IV w'!K7)</f>
        <v>3126.955360625885</v>
      </c>
      <c r="I26" s="23"/>
      <c r="J26" s="18"/>
    </row>
    <row r="27" spans="1:10" ht="15.75">
      <c r="A27" s="22" t="s">
        <v>31</v>
      </c>
      <c r="B27" s="23" t="str">
        <f>'WK IV m'!B31</f>
        <v>OS Eibenstock</v>
      </c>
      <c r="C27" s="23">
        <f>SUM('WK IV m'!E31,'WK IV m'!G31,'WK IV m'!I31,'WK IV m'!K31)</f>
        <v>2829.1743748453187</v>
      </c>
      <c r="D27" s="23"/>
      <c r="E27" s="22"/>
      <c r="F27" s="22" t="s">
        <v>31</v>
      </c>
      <c r="G27" s="23" t="str">
        <f>'WK IV w'!B15</f>
        <v>OS Auerbach</v>
      </c>
      <c r="H27" s="23">
        <f>SUM('WK IV w'!E15,'WK IV w'!G15,'WK IV w'!I15,'WK IV w'!K15)</f>
        <v>3020.4003934418233</v>
      </c>
      <c r="I27" s="23"/>
      <c r="J27" s="18"/>
    </row>
    <row r="28" spans="1:10" ht="15.75">
      <c r="A28" s="22" t="s">
        <v>32</v>
      </c>
      <c r="B28" s="23" t="str">
        <f>'WK IV m'!B15</f>
        <v>LKG Annaberg</v>
      </c>
      <c r="C28" s="23">
        <f>SUM('WK IV m'!E15,'WK IV m'!G15,'WK IV m'!I15,'WK IV m'!K15)</f>
        <v>2727.774069142804</v>
      </c>
      <c r="D28" s="23"/>
      <c r="E28" s="22"/>
      <c r="F28" s="22" t="s">
        <v>32</v>
      </c>
      <c r="G28" s="23" t="str">
        <f>'WK IV w'!B19</f>
        <v>LKG Annaberg</v>
      </c>
      <c r="H28" s="23">
        <f>SUM('WK IV w'!E19,'WK IV w'!G19,'WK IV w'!I19,'WK IV w'!K19)</f>
        <v>2870.4909755791227</v>
      </c>
      <c r="I28" s="23"/>
      <c r="J28" s="18"/>
    </row>
    <row r="29" spans="1:10" ht="15.75">
      <c r="A29" s="22" t="s">
        <v>33</v>
      </c>
      <c r="B29" s="28" t="str">
        <f>'WK IV m'!B19</f>
        <v>OS Jöhstadt</v>
      </c>
      <c r="C29" s="23">
        <f>SUM('WK IV m'!E19,'WK IV m'!G19,'WK IV m'!I19,'WK IV m'!K19)</f>
        <v>2661.411936972539</v>
      </c>
      <c r="D29" s="23"/>
      <c r="E29" s="22"/>
      <c r="F29" s="22" t="s">
        <v>33</v>
      </c>
      <c r="G29" s="23" t="str">
        <f>'WK IV w'!B11</f>
        <v>Gym Olbernhau</v>
      </c>
      <c r="H29" s="23">
        <f>SUM('WK IV w'!E11,'WK IV w'!G11,'WK IV w'!I11,'WK IV w'!K11)</f>
        <v>2728.5968742327473</v>
      </c>
      <c r="I29" s="23"/>
      <c r="J29" s="18"/>
    </row>
    <row r="30" spans="1:10" ht="15.75">
      <c r="A30" s="22" t="s">
        <v>34</v>
      </c>
      <c r="B30" s="23" t="str">
        <f>'WK IV m'!B23</f>
        <v>OS Bergstadt Schneeberg</v>
      </c>
      <c r="C30" s="23">
        <f>SUM('WK IV m'!E23,'WK IV m'!G23,'WK IV m'!I23,'WK IV m'!K23)</f>
        <v>2641.899113522845</v>
      </c>
      <c r="D30" s="23"/>
      <c r="E30" s="22"/>
      <c r="F30" s="22" t="s">
        <v>34</v>
      </c>
      <c r="G30" s="30"/>
      <c r="H30" s="23"/>
      <c r="I30" s="23"/>
      <c r="J30" s="18"/>
    </row>
    <row r="31" spans="1:10" ht="15.75">
      <c r="A31" s="22" t="s">
        <v>35</v>
      </c>
      <c r="B31" s="23" t="str">
        <f>'WK IV m'!B27</f>
        <v>OS Auerbach</v>
      </c>
      <c r="C31" s="23">
        <f>SUM('WK IV m'!E27,'WK IV m'!G27,'WK IV m'!I27,'WK IV m'!K27)</f>
        <v>2475.635787990004</v>
      </c>
      <c r="D31" s="23"/>
      <c r="E31" s="22"/>
      <c r="F31" s="22"/>
      <c r="G31" s="22"/>
      <c r="H31" s="23"/>
      <c r="I31" s="23"/>
      <c r="J31" s="18"/>
    </row>
    <row r="32" spans="1:10" ht="15.75">
      <c r="A32" s="22" t="s">
        <v>39</v>
      </c>
      <c r="B32" s="23" t="str">
        <f>'WK IV m'!B11</f>
        <v>Gym Olbernhau</v>
      </c>
      <c r="C32" s="23">
        <f>SUM('WK IV m'!E11,'WK IV m'!G11,'WK IV m'!I11,'WK IV m'!K11)</f>
        <v>2217.8304788068126</v>
      </c>
      <c r="D32" s="22"/>
      <c r="E32" s="22"/>
      <c r="F32" s="22"/>
      <c r="G32" s="22"/>
      <c r="H32" s="23"/>
      <c r="I32" s="26"/>
      <c r="J32" s="18"/>
    </row>
    <row r="33" spans="1:10" ht="15.75">
      <c r="A33" s="22" t="s">
        <v>47</v>
      </c>
      <c r="B33" s="30"/>
      <c r="C33" s="23"/>
      <c r="D33" s="22"/>
      <c r="E33" s="22"/>
      <c r="F33" s="26"/>
      <c r="G33" s="26"/>
      <c r="H33" s="23"/>
      <c r="I33" s="26"/>
      <c r="J33" s="18"/>
    </row>
  </sheetData>
  <sheetProtection/>
  <printOptions/>
  <pageMargins left="0.7086614173228347" right="0.57" top="0.3937007874015748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35" sqref="G35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  <col min="8" max="8" width="10.421875" style="0" customWidth="1"/>
  </cols>
  <sheetData>
    <row r="1" spans="1:9" s="19" customFormat="1" ht="21">
      <c r="A1" s="25" t="s">
        <v>56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32" t="str">
        <f>'WK II m'!B15</f>
        <v>OS "Trebra" Marienberg</v>
      </c>
      <c r="C5" s="23">
        <f>SUM('WK II m'!M7,'WK II m'!G7,'WK II m'!K7,'WK II m'!I7,'WK II m'!E7)</f>
        <v>5127.352554905071</v>
      </c>
      <c r="D5" s="23"/>
      <c r="E5" s="22"/>
      <c r="F5" s="22" t="s">
        <v>30</v>
      </c>
      <c r="G5" s="23" t="str">
        <f>'WK II w'!B11</f>
        <v>Gym Zschopau</v>
      </c>
      <c r="H5" s="23">
        <f>SUM('WK II w'!M11,'WK II w'!G11,'WK II w'!K11,'WK II w'!I11,'WK II w'!E11)</f>
        <v>4734.1392390016</v>
      </c>
      <c r="I5" s="23"/>
      <c r="J5" s="18"/>
    </row>
    <row r="6" spans="1:10" ht="15.75">
      <c r="A6" s="22" t="s">
        <v>31</v>
      </c>
      <c r="B6" s="23" t="str">
        <f>'WK II m'!B7</f>
        <v>Gym Marienberg</v>
      </c>
      <c r="C6" s="23">
        <f>SUM('WK II m'!M11,'WK II m'!G11,'WK II m'!K11,'WK II m'!I11,'WK II m'!E11)</f>
        <v>4889.026822847116</v>
      </c>
      <c r="D6" s="23"/>
      <c r="E6" s="22"/>
      <c r="F6" s="22" t="s">
        <v>31</v>
      </c>
      <c r="G6" s="23" t="str">
        <f>'WK II w'!B7</f>
        <v>Gymn Olbernhau</v>
      </c>
      <c r="H6" s="23">
        <f>SUM('WK II w'!M7,'WK II w'!G7,'WK II w'!K7,'WK II w'!I7,'WK II w'!E7)</f>
        <v>3107.367683039628</v>
      </c>
      <c r="I6" s="23"/>
      <c r="J6" s="18"/>
    </row>
    <row r="7" spans="1:10" ht="15.75">
      <c r="A7" s="22" t="s">
        <v>32</v>
      </c>
      <c r="B7" s="29" t="str">
        <f>'WK II m'!B19</f>
        <v>OS Bergstadt Schneeberg</v>
      </c>
      <c r="C7" s="23">
        <f>SUM('WK II m'!M19,'WK II m'!G19,'WK II m'!K19,'WK II m'!I19,'WK II m'!E19)</f>
        <v>4874.853076966745</v>
      </c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31" t="str">
        <f>'WK II m'!B23</f>
        <v>OS Eibenstock</v>
      </c>
      <c r="C8" s="23">
        <f>SUM('WK II m'!M23,'WK II m'!G23,'WK II m'!K23,'WK II m'!I23,'WK II m'!E23)</f>
        <v>4734.270229564005</v>
      </c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 t="str">
        <f>'WK II m'!B11</f>
        <v>Gym Olbernhau</v>
      </c>
      <c r="C9" s="23">
        <f>SUM('WK II m'!M15,'WK II m'!G15,'WK II m'!K15,'WK II m'!I15,'WK II m'!E15)</f>
        <v>4644.654629414148</v>
      </c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tr">
        <f>'WK III m'!B15</f>
        <v>OS Olbernhau</v>
      </c>
      <c r="C15" s="23">
        <f>SUM('WK III m'!E15,'WK III m'!G15,'WK III m'!I15,'WK III m'!K15,'WK III m'!M15)</f>
        <v>4773.96923877616</v>
      </c>
      <c r="D15" s="23"/>
      <c r="E15" s="22"/>
      <c r="F15" s="22" t="s">
        <v>30</v>
      </c>
      <c r="G15" s="23" t="str">
        <f>'WK III w'!B7</f>
        <v>Gym Marienberg</v>
      </c>
      <c r="H15" s="23">
        <f>SUM('WK III w'!E7,'WK III w'!G7,'WK III w'!I7,'WK III w'!K7,'WK III w'!M7)</f>
        <v>4433.575293541013</v>
      </c>
      <c r="I15" s="23"/>
      <c r="J15" s="18"/>
    </row>
    <row r="16" spans="1:10" ht="15.75">
      <c r="A16" s="22" t="s">
        <v>31</v>
      </c>
      <c r="B16" s="23" t="str">
        <f>'WK III m'!B11</f>
        <v>OS Lengefeld</v>
      </c>
      <c r="C16" s="23">
        <f>SUM('WK III m'!E11,'WK III m'!G11,'WK III m'!I11,'WK III m'!K11,'WK III m'!M11)</f>
        <v>4337.5936895032855</v>
      </c>
      <c r="D16" s="23"/>
      <c r="E16" s="22"/>
      <c r="F16" s="22" t="s">
        <v>31</v>
      </c>
      <c r="G16" s="23" t="str">
        <f>'WK III w'!B19</f>
        <v>OS Olbernhau</v>
      </c>
      <c r="H16" s="23">
        <f>SUM('WK III w'!E19,'WK III w'!G19,'WK III w'!I19,'WK III w'!K19,'WK III w'!M19)</f>
        <v>4165.953684920999</v>
      </c>
      <c r="I16" s="23"/>
      <c r="J16" s="18"/>
    </row>
    <row r="17" spans="1:10" ht="15.75">
      <c r="A17" s="22" t="s">
        <v>32</v>
      </c>
      <c r="B17" s="23" t="str">
        <f>'WK III m'!B19</f>
        <v>OS Auerbach</v>
      </c>
      <c r="C17" s="23">
        <f>SUM('WK III m'!E19,'WK III m'!G19,'WK III m'!I19,'WK III m'!K19,'WK III m'!M19)</f>
        <v>4309.454880926702</v>
      </c>
      <c r="D17" s="23"/>
      <c r="E17" s="22"/>
      <c r="F17" s="22" t="s">
        <v>32</v>
      </c>
      <c r="G17" s="23" t="str">
        <f>'WK III w'!B23</f>
        <v>OS Bebel Zschopau</v>
      </c>
      <c r="H17" s="23">
        <f>SUM('WK III w'!E23,'WK III w'!G23,'WK III w'!I23,'WK III w'!K23,'WK III w'!M23)</f>
        <v>4158.507524736233</v>
      </c>
      <c r="I17" s="23"/>
      <c r="J17" s="18"/>
    </row>
    <row r="18" spans="1:10" ht="15.75">
      <c r="A18" s="22" t="s">
        <v>33</v>
      </c>
      <c r="B18" s="23" t="str">
        <f>'WK III m'!B7</f>
        <v>OS "Trebra" Marienberg</v>
      </c>
      <c r="C18" s="23">
        <f>SUM('WK III m'!E7,'WK III m'!G7,'WK III m'!I7,'WK III m'!K7,'WK III m'!M7)</f>
        <v>4018.3424480414114</v>
      </c>
      <c r="D18" s="23"/>
      <c r="E18" s="22"/>
      <c r="F18" s="22" t="s">
        <v>33</v>
      </c>
      <c r="G18" s="23" t="str">
        <f>'WK III w'!B27</f>
        <v>OS Bergstadt Schneeberg</v>
      </c>
      <c r="H18" s="23">
        <f>SUM('WK III w'!E27,'WK III w'!G27,'WK III w'!I27,'WK III w'!K27,'WK III w'!M27)</f>
        <v>4038.571613715416</v>
      </c>
      <c r="I18" s="23"/>
      <c r="J18" s="18"/>
    </row>
    <row r="19" spans="1:10" ht="15.75">
      <c r="A19" s="22" t="s">
        <v>34</v>
      </c>
      <c r="B19" s="23"/>
      <c r="C19" s="23"/>
      <c r="D19" s="23"/>
      <c r="E19" s="22"/>
      <c r="F19" s="22" t="s">
        <v>34</v>
      </c>
      <c r="G19" s="23" t="str">
        <f>'WK III w'!B11</f>
        <v>Gym Olbernhau</v>
      </c>
      <c r="H19" s="23">
        <f>SUM('WK III w'!E11,'WK III w'!G11,'WK III w'!I11,'WK III w'!K11,'WK III w'!M11)</f>
        <v>3693.75283520248</v>
      </c>
      <c r="I19" s="22"/>
      <c r="J19" s="18"/>
    </row>
    <row r="20" spans="1:10" ht="15.75">
      <c r="A20" s="22" t="s">
        <v>35</v>
      </c>
      <c r="B20" s="23"/>
      <c r="C20" s="23"/>
      <c r="D20" s="22"/>
      <c r="E20" s="22"/>
      <c r="F20" s="22" t="s">
        <v>35</v>
      </c>
      <c r="G20" s="23" t="str">
        <f>'WK III w'!B31</f>
        <v>OS Auerbach</v>
      </c>
      <c r="H20" s="23">
        <f>SUM('WK III w'!E31,'WK III w'!G31,'WK III w'!I31,'WK III w'!K31,'WK III w'!M31)</f>
        <v>3623.268571013147</v>
      </c>
      <c r="I20" s="22"/>
      <c r="J20" s="18"/>
    </row>
    <row r="21" spans="1:10" ht="15.75">
      <c r="A21" s="22" t="s">
        <v>39</v>
      </c>
      <c r="B21" s="23"/>
      <c r="C21" s="23"/>
      <c r="D21" s="22"/>
      <c r="E21" s="22"/>
      <c r="F21" s="22" t="s">
        <v>39</v>
      </c>
      <c r="G21" s="23" t="str">
        <f>'WK III w'!B15</f>
        <v>OS Eibenstock</v>
      </c>
      <c r="H21" s="23">
        <f>SUM('WK III w'!E15,'WK III w'!G15,'WK III w'!I15,'WK III w'!K15,'WK III w'!M15)</f>
        <v>2883.2856806515715</v>
      </c>
      <c r="I21" s="22"/>
      <c r="J21" s="18"/>
    </row>
    <row r="22" spans="1:10" ht="15.75">
      <c r="A22" s="22"/>
      <c r="B22" s="22"/>
      <c r="C22" s="23"/>
      <c r="D22" s="22"/>
      <c r="E22" s="22"/>
      <c r="F22" s="22" t="s">
        <v>47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tr">
        <f>'WK IV m'!B7</f>
        <v>Gym Marienberg</v>
      </c>
      <c r="C26" s="23">
        <f>SUM('WK IV m'!E7,'WK IV m'!G7,'WK IV m'!I7,'WK IV m'!K7,'WK IV m'!M7)</f>
        <v>3753.880820052823</v>
      </c>
      <c r="D26" s="22"/>
      <c r="E26" s="22"/>
      <c r="F26" s="22" t="s">
        <v>30</v>
      </c>
      <c r="G26" s="23" t="str">
        <f>'WK IV w'!B7</f>
        <v>Gym Marienberg</v>
      </c>
      <c r="H26" s="23">
        <f>SUM('WK IV w'!E7,'WK IV w'!G7,'WK IV w'!I7,'WK IV w'!K7,'WK IV w'!M7)</f>
        <v>3967.7455359825344</v>
      </c>
      <c r="I26" s="23"/>
      <c r="J26" s="18"/>
    </row>
    <row r="27" spans="1:10" ht="15.75">
      <c r="A27" s="22" t="s">
        <v>31</v>
      </c>
      <c r="B27" s="23" t="str">
        <f>'WK IV m'!B31</f>
        <v>OS Eibenstock</v>
      </c>
      <c r="C27" s="23">
        <f>SUM('WK IV m'!E31,'WK IV m'!G31,'WK IV m'!I31,'WK IV m'!K31,'WK IV m'!M31)</f>
        <v>3593.4454526740137</v>
      </c>
      <c r="D27" s="23"/>
      <c r="E27" s="22"/>
      <c r="F27" s="22" t="s">
        <v>31</v>
      </c>
      <c r="G27" s="23" t="str">
        <f>'WK IV w'!B15</f>
        <v>OS Auerbach</v>
      </c>
      <c r="H27" s="23">
        <f>SUM('WK IV w'!E15,'WK IV w'!G15,'WK IV w'!I15,'WK IV w'!K15,'WK IV w'!M15)</f>
        <v>3929.1053895645664</v>
      </c>
      <c r="I27" s="23"/>
      <c r="J27" s="18"/>
    </row>
    <row r="28" spans="1:10" ht="15.75">
      <c r="A28" s="22" t="s">
        <v>32</v>
      </c>
      <c r="B28" s="23" t="str">
        <f>'WK IV m'!B15</f>
        <v>LKG Annaberg</v>
      </c>
      <c r="C28" s="23">
        <f>SUM('WK IV m'!E15,'WK IV m'!G15,'WK IV m'!I15,'WK IV m'!K15,'WK IV m'!M15)</f>
        <v>3448.2071691914616</v>
      </c>
      <c r="D28" s="23"/>
      <c r="E28" s="22"/>
      <c r="F28" s="22" t="s">
        <v>32</v>
      </c>
      <c r="G28" s="23" t="str">
        <f>'WK IV w'!B19</f>
        <v>LKG Annaberg</v>
      </c>
      <c r="H28" s="23">
        <f>SUM('WK IV w'!E19,'WK IV w'!G19,'WK IV w'!I19,'WK IV w'!K19,'WK IV w'!M19)</f>
        <v>3582.854684655489</v>
      </c>
      <c r="I28" s="23"/>
      <c r="J28" s="18"/>
    </row>
    <row r="29" spans="1:10" ht="15.75">
      <c r="A29" s="22" t="s">
        <v>33</v>
      </c>
      <c r="B29" s="23" t="str">
        <f>'WK IV m'!B23</f>
        <v>OS Bergstadt Schneeberg</v>
      </c>
      <c r="C29" s="23">
        <f>SUM('WK IV m'!E23,'WK IV m'!G23,'WK IV m'!I23,'WK IV m'!K23,'WK IV m'!M23)</f>
        <v>3381.364067158899</v>
      </c>
      <c r="D29" s="23"/>
      <c r="E29" s="22"/>
      <c r="F29" s="22" t="s">
        <v>33</v>
      </c>
      <c r="G29" s="23" t="str">
        <f>'WK IV w'!B11</f>
        <v>Gym Olbernhau</v>
      </c>
      <c r="H29" s="23">
        <f>SUM('WK IV w'!E11,'WK IV w'!G11,'WK IV w'!I11,'WK IV w'!K11,'WK IV w'!M11)</f>
        <v>3479.9456561697643</v>
      </c>
      <c r="I29" s="23"/>
      <c r="J29" s="18"/>
    </row>
    <row r="30" spans="1:10" ht="15.75">
      <c r="A30" s="22" t="s">
        <v>34</v>
      </c>
      <c r="B30" s="28" t="str">
        <f>'WK IV m'!B19</f>
        <v>OS Jöhstadt</v>
      </c>
      <c r="C30" s="23">
        <f>SUM('WK IV m'!E19,'WK IV m'!G19,'WK IV m'!I19,'WK IV m'!K19,'WK IV m'!M19)</f>
        <v>3329.1931590976133</v>
      </c>
      <c r="D30" s="23"/>
      <c r="E30" s="22"/>
      <c r="F30" s="22" t="s">
        <v>34</v>
      </c>
      <c r="G30" s="30"/>
      <c r="H30" s="23"/>
      <c r="I30" s="23"/>
      <c r="J30" s="18"/>
    </row>
    <row r="31" spans="1:10" ht="15.75">
      <c r="A31" s="22" t="s">
        <v>35</v>
      </c>
      <c r="B31" s="23" t="str">
        <f>'WK IV m'!B27</f>
        <v>OS Auerbach</v>
      </c>
      <c r="C31" s="23">
        <f>SUM('WK IV m'!E27,'WK IV m'!G27,'WK IV m'!I27,'WK IV m'!K27,'WK IV m'!M27)</f>
        <v>3190.946593163137</v>
      </c>
      <c r="D31" s="23"/>
      <c r="E31" s="22"/>
      <c r="F31" s="22"/>
      <c r="G31" s="22"/>
      <c r="H31" s="23"/>
      <c r="I31" s="23"/>
      <c r="J31" s="18"/>
    </row>
    <row r="32" spans="1:10" ht="15.75">
      <c r="A32" s="22" t="s">
        <v>39</v>
      </c>
      <c r="B32" s="23" t="str">
        <f>'WK IV m'!B11</f>
        <v>Gym Olbernhau</v>
      </c>
      <c r="C32" s="23">
        <f>SUM('WK IV m'!E11,'WK IV m'!G11,'WK IV m'!I11,'WK IV m'!K11,'WK IV m'!M11)</f>
        <v>2929.7424179028485</v>
      </c>
      <c r="D32" s="22"/>
      <c r="E32" s="22"/>
      <c r="F32" s="22"/>
      <c r="G32" s="22"/>
      <c r="H32" s="23"/>
      <c r="I32" s="26"/>
      <c r="J32" s="18"/>
    </row>
    <row r="33" spans="1:10" ht="15.75">
      <c r="A33" s="22" t="s">
        <v>47</v>
      </c>
      <c r="B33" s="30"/>
      <c r="C33" s="23"/>
      <c r="D33" s="22"/>
      <c r="E33" s="22"/>
      <c r="F33" s="26"/>
      <c r="G33" s="26"/>
      <c r="H33" s="23"/>
      <c r="I33" s="26"/>
      <c r="J33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28" sqref="J28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57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3" t="str">
        <f>'WK II m'!B11</f>
        <v>Gym Olbernhau</v>
      </c>
      <c r="C5" s="23">
        <f>SUM('WK II m'!M7,'WK II m'!G7,'WK II m'!K7,'WK II m'!I7,'WK II m'!E7,'WK II m'!O7)</f>
        <v>6254.754961562388</v>
      </c>
      <c r="D5" s="23"/>
      <c r="E5" s="22"/>
      <c r="F5" s="22" t="s">
        <v>30</v>
      </c>
      <c r="G5" s="23" t="str">
        <f>'WK II w'!B11</f>
        <v>Gym Zschopau</v>
      </c>
      <c r="H5" s="23">
        <f>SUM('WK II w'!M11,'WK II w'!G11,'WK II w'!K11,'WK II w'!I11,'WK II w'!E11,'WK II w'!O11)</f>
        <v>5677.295186775135</v>
      </c>
      <c r="I5" s="23"/>
      <c r="J5" s="18"/>
    </row>
    <row r="6" spans="1:10" ht="15.75">
      <c r="A6" s="22" t="s">
        <v>31</v>
      </c>
      <c r="B6" s="23" t="str">
        <f>'WK II m'!B7</f>
        <v>Gym Marienberg</v>
      </c>
      <c r="C6" s="23">
        <f>SUM('WK II m'!M11,'WK II m'!G11,'WK II m'!K11,'WK II m'!I11,'WK II m'!E11,'WK II m'!O11)</f>
        <v>5936.592917230187</v>
      </c>
      <c r="D6" s="23"/>
      <c r="E6" s="22"/>
      <c r="F6" s="22" t="s">
        <v>31</v>
      </c>
      <c r="G6" s="23" t="str">
        <f>'WK II w'!B7</f>
        <v>Gymn Olbernhau</v>
      </c>
      <c r="H6" s="23">
        <f>SUM('WK II w'!M7,'WK II w'!G7,'WK II w'!K7,'WK II w'!I7,'WK II w'!E7,'WK II w'!O7)</f>
        <v>3859.285948096065</v>
      </c>
      <c r="I6" s="23"/>
      <c r="J6" s="18"/>
    </row>
    <row r="7" spans="1:10" ht="15.75">
      <c r="A7" s="22" t="s">
        <v>32</v>
      </c>
      <c r="B7" s="29" t="str">
        <f>'WK II m'!B19</f>
        <v>OS Bergstadt Schneeberg</v>
      </c>
      <c r="C7" s="23">
        <f>SUM('WK II m'!M19,'WK II m'!G19,'WK II m'!K19,'WK II m'!I19,'WK II m'!E19,'WK II m'!O19)</f>
        <v>5868.55463342465</v>
      </c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31" t="str">
        <f>'WK II m'!B23</f>
        <v>OS Eibenstock</v>
      </c>
      <c r="C8" s="23">
        <f>SUM('WK II m'!M23,'WK II m'!G23,'WK II m'!K23,'WK II m'!I23,'WK II m'!E23,'WK II m'!O23)</f>
        <v>5662.800277848382</v>
      </c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32" t="str">
        <f>'WK II m'!B15</f>
        <v>OS "Trebra" Marienberg</v>
      </c>
      <c r="C9" s="23">
        <f>SUM('WK II m'!M15,'WK II m'!G15,'WK II m'!K15,'WK II m'!I15,'WK II m'!E15,'WK II m'!O15)</f>
        <v>5605.510501502015</v>
      </c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tr">
        <f>'WK III m'!B15</f>
        <v>OS Olbernhau</v>
      </c>
      <c r="C15" s="23">
        <f>SUM('WK III m'!E15,'WK III m'!G15,'WK III m'!I15,'WK III m'!K15,'WK III m'!M15,'WK III m'!O15)</f>
        <v>5673.719906934263</v>
      </c>
      <c r="D15" s="23"/>
      <c r="E15" s="22"/>
      <c r="F15" s="22" t="s">
        <v>30</v>
      </c>
      <c r="G15" s="23" t="str">
        <f>'WK III w'!B7</f>
        <v>Gym Marienberg</v>
      </c>
      <c r="H15" s="23">
        <f>SUM('WK III w'!E7,'WK III w'!G7,'WK III w'!I7,'WK III w'!K7,'WK III w'!M7,'WK III w'!O7)</f>
        <v>5355.575535339424</v>
      </c>
      <c r="I15" s="23"/>
      <c r="J15" s="18"/>
    </row>
    <row r="16" spans="1:10" ht="15.75">
      <c r="A16" s="22" t="s">
        <v>31</v>
      </c>
      <c r="B16" s="23" t="str">
        <f>'WK III m'!B11</f>
        <v>OS Lengefeld</v>
      </c>
      <c r="C16" s="23">
        <f>SUM('WK III m'!E11,'WK III m'!G11,'WK III m'!I11,'WK III m'!K11,'WK III m'!M11,'WK III m'!O11)</f>
        <v>5357.743668004763</v>
      </c>
      <c r="D16" s="23"/>
      <c r="E16" s="22"/>
      <c r="F16" s="22" t="s">
        <v>31</v>
      </c>
      <c r="G16" s="23" t="str">
        <f>'WK III w'!B23</f>
        <v>OS Bebel Zschopau</v>
      </c>
      <c r="H16" s="23">
        <f>SUM('WK III w'!E23,'WK III w'!G23,'WK III w'!I23,'WK III w'!K23,'WK III w'!M23,'WK III w'!O23)</f>
        <v>5035.416239729027</v>
      </c>
      <c r="I16" s="23"/>
      <c r="J16" s="18"/>
    </row>
    <row r="17" spans="1:10" ht="15.75">
      <c r="A17" s="22" t="s">
        <v>32</v>
      </c>
      <c r="B17" s="23" t="str">
        <f>'WK III m'!B19</f>
        <v>OS Auerbach</v>
      </c>
      <c r="C17" s="23">
        <f>SUM('WK III m'!E19,'WK III m'!G19,'WK III m'!I19,'WK III m'!K19,'WK III m'!M19,'WK III m'!O19)</f>
        <v>5340.917072809356</v>
      </c>
      <c r="D17" s="23"/>
      <c r="E17" s="22"/>
      <c r="F17" s="22" t="s">
        <v>32</v>
      </c>
      <c r="G17" s="23" t="str">
        <f>'WK III w'!B19</f>
        <v>OS Olbernhau</v>
      </c>
      <c r="H17" s="23">
        <f>SUM('WK III w'!E19,'WK III w'!G19,'WK III w'!I19,'WK III w'!K19,'WK III w'!M19,'WK III w'!O19)</f>
        <v>5029.514792458367</v>
      </c>
      <c r="I17" s="23"/>
      <c r="J17" s="18"/>
    </row>
    <row r="18" spans="1:10" ht="15.75">
      <c r="A18" s="22" t="s">
        <v>33</v>
      </c>
      <c r="B18" s="23" t="str">
        <f>'WK III m'!B7</f>
        <v>OS "Trebra" Marienberg</v>
      </c>
      <c r="C18" s="23">
        <f>SUM('WK III m'!E7,'WK III m'!G7,'WK III m'!I7,'WK III m'!K7,'WK III m'!M7,'WK III m'!O7)</f>
        <v>4847.863410575578</v>
      </c>
      <c r="D18" s="23"/>
      <c r="E18" s="22"/>
      <c r="F18" s="22" t="s">
        <v>33</v>
      </c>
      <c r="G18" s="23" t="str">
        <f>'WK III w'!B27</f>
        <v>OS Bergstadt Schneeberg</v>
      </c>
      <c r="H18" s="23">
        <f>SUM('WK III w'!E27,'WK III w'!G27,'WK III w'!I27,'WK III w'!K27,'WK III w'!M27,'WK III w'!O27)</f>
        <v>4877.7916507653645</v>
      </c>
      <c r="I18" s="23"/>
      <c r="J18" s="18"/>
    </row>
    <row r="19" spans="1:10" ht="15.75">
      <c r="A19" s="22" t="s">
        <v>34</v>
      </c>
      <c r="B19" s="23"/>
      <c r="C19" s="23"/>
      <c r="D19" s="23"/>
      <c r="E19" s="22"/>
      <c r="F19" s="22" t="s">
        <v>34</v>
      </c>
      <c r="G19" s="23" t="str">
        <f>'WK III w'!B11</f>
        <v>Gym Olbernhau</v>
      </c>
      <c r="H19" s="23">
        <f>SUM('WK III w'!E11,'WK III w'!G11,'WK III w'!I11,'WK III w'!K11,'WK III w'!M11,'WK III w'!O11)</f>
        <v>4542.733851164457</v>
      </c>
      <c r="I19" s="22"/>
      <c r="J19" s="18"/>
    </row>
    <row r="20" spans="1:10" ht="15.75">
      <c r="A20" s="22" t="s">
        <v>35</v>
      </c>
      <c r="B20" s="23"/>
      <c r="C20" s="23"/>
      <c r="D20" s="22"/>
      <c r="E20" s="22"/>
      <c r="F20" s="22" t="s">
        <v>35</v>
      </c>
      <c r="G20" s="23" t="str">
        <f>'WK III w'!B31</f>
        <v>OS Auerbach</v>
      </c>
      <c r="H20" s="23">
        <f>SUM('WK III w'!E31,'WK III w'!G31,'WK III w'!I31,'WK III w'!K31,'WK III w'!M31,'WK III w'!O31)</f>
        <v>4383.751053100835</v>
      </c>
      <c r="I20" s="22"/>
      <c r="J20" s="18"/>
    </row>
    <row r="21" spans="1:10" ht="15.75">
      <c r="A21" s="22" t="s">
        <v>39</v>
      </c>
      <c r="B21" s="23"/>
      <c r="C21" s="23"/>
      <c r="D21" s="22"/>
      <c r="E21" s="22"/>
      <c r="F21" s="22" t="s">
        <v>39</v>
      </c>
      <c r="G21" s="23" t="str">
        <f>'WK III w'!B15</f>
        <v>OS Eibenstock</v>
      </c>
      <c r="H21" s="23">
        <f>SUM('WK III w'!E15,'WK III w'!G15,'WK III w'!I15,'WK III w'!K15,'WK III w'!M15,'WK III w'!O15)</f>
        <v>3681.6995786409725</v>
      </c>
      <c r="I21" s="22"/>
      <c r="J21" s="18"/>
    </row>
    <row r="22" spans="1:10" ht="15.75">
      <c r="A22" s="22"/>
      <c r="B22" s="22"/>
      <c r="C22" s="23"/>
      <c r="D22" s="22"/>
      <c r="E22" s="22"/>
      <c r="F22" s="22" t="s">
        <v>47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tr">
        <f>'WK IV m'!B7</f>
        <v>Gym Marienberg</v>
      </c>
      <c r="C26" s="23">
        <f>SUM('WK IV m'!E7,'WK IV m'!G7,'WK IV m'!I7,'WK IV m'!K7,'WK IV m'!M7,'WK IV m'!O7)</f>
        <v>4478.051492553699</v>
      </c>
      <c r="D26" s="22"/>
      <c r="E26" s="22"/>
      <c r="F26" s="22" t="s">
        <v>30</v>
      </c>
      <c r="G26" s="23" t="str">
        <f>'WK IV w'!B7</f>
        <v>Gym Marienberg</v>
      </c>
      <c r="H26" s="23">
        <f>SUM('WK IV w'!E7,'WK IV w'!G7,'WK IV w'!I7,'WK IV w'!K7,'WK IV w'!M7,'WK IV w'!O7)</f>
        <v>4814.383398784317</v>
      </c>
      <c r="I26" s="23"/>
      <c r="J26" s="18"/>
    </row>
    <row r="27" spans="1:10" ht="15.75">
      <c r="A27" s="22" t="s">
        <v>31</v>
      </c>
      <c r="B27" s="23" t="str">
        <f>'WK IV m'!B31</f>
        <v>OS Eibenstock</v>
      </c>
      <c r="C27" s="23">
        <f>SUM('WK IV m'!E31,'WK IV m'!G31,'WK IV m'!I31,'WK IV m'!K31,'WK IV m'!M31,'WK IV m'!O31)</f>
        <v>4331.493781918432</v>
      </c>
      <c r="D27" s="23"/>
      <c r="E27" s="22"/>
      <c r="F27" s="22" t="s">
        <v>31</v>
      </c>
      <c r="G27" s="23" t="str">
        <f>'WK IV w'!B15</f>
        <v>OS Auerbach</v>
      </c>
      <c r="H27" s="23">
        <f>SUM('WK IV w'!E15,'WK IV w'!G15,'WK IV w'!I15,'WK IV w'!K15,'WK IV w'!M15,'WK IV w'!O15)</f>
        <v>4438.101368116366</v>
      </c>
      <c r="I27" s="23"/>
      <c r="J27" s="18"/>
    </row>
    <row r="28" spans="1:10" ht="15.75">
      <c r="A28" s="22" t="s">
        <v>32</v>
      </c>
      <c r="B28" s="23" t="str">
        <f>'WK IV m'!B15</f>
        <v>LKG Annaberg</v>
      </c>
      <c r="C28" s="23">
        <f>SUM('WK IV m'!E15,'WK IV m'!G15,'WK IV m'!I15,'WK IV m'!K15,'WK IV m'!M15,'WK IV m'!O15)</f>
        <v>4175.432842069308</v>
      </c>
      <c r="D28" s="23"/>
      <c r="E28" s="22"/>
      <c r="F28" s="22" t="s">
        <v>32</v>
      </c>
      <c r="G28" s="23" t="str">
        <f>'WK IV w'!B19</f>
        <v>LKG Annaberg</v>
      </c>
      <c r="H28" s="23">
        <f>SUM('WK IV w'!E19,'WK IV w'!G19,'WK IV w'!I19,'WK IV w'!K19,'WK IV w'!M19,'WK IV w'!O19)</f>
        <v>4358.6523034963675</v>
      </c>
      <c r="I28" s="23"/>
      <c r="J28" s="18"/>
    </row>
    <row r="29" spans="1:10" ht="15.75">
      <c r="A29" s="22" t="s">
        <v>33</v>
      </c>
      <c r="B29" s="23" t="str">
        <f>'WK IV m'!B23</f>
        <v>OS Bergstadt Schneeberg</v>
      </c>
      <c r="C29" s="23">
        <f>SUM('WK IV m'!E23,'WK IV m'!G23,'WK IV m'!I23,'WK IV m'!K23,'WK IV m'!M23,'WK IV m'!O23)</f>
        <v>4065.169725528107</v>
      </c>
      <c r="D29" s="23"/>
      <c r="E29" s="22"/>
      <c r="F29" s="22" t="s">
        <v>33</v>
      </c>
      <c r="G29" s="23" t="str">
        <f>'WK IV w'!B11</f>
        <v>Gym Olbernhau</v>
      </c>
      <c r="H29" s="23">
        <f>SUM('WK IV w'!E11,'WK IV w'!G11,'WK IV w'!I11,'WK IV w'!K11,'WK IV w'!M11,'WK IV w'!O11)</f>
        <v>4174.203981690664</v>
      </c>
      <c r="I29" s="23"/>
      <c r="J29" s="18"/>
    </row>
    <row r="30" spans="1:10" ht="15.75">
      <c r="A30" s="22" t="s">
        <v>34</v>
      </c>
      <c r="B30" s="23" t="str">
        <f>'WK IV m'!B27</f>
        <v>OS Auerbach</v>
      </c>
      <c r="C30" s="23">
        <f>SUM('WK IV m'!E27,'WK IV m'!G27,'WK IV m'!I27,'WK IV m'!K27,'WK IV m'!M27,'WK IV m'!O27)</f>
        <v>3844.2201474258127</v>
      </c>
      <c r="D30" s="23"/>
      <c r="E30" s="22"/>
      <c r="F30" s="22" t="s">
        <v>34</v>
      </c>
      <c r="G30" s="30"/>
      <c r="H30" s="23"/>
      <c r="I30" s="23"/>
      <c r="J30" s="18"/>
    </row>
    <row r="31" spans="1:10" ht="15.75">
      <c r="A31" s="22" t="s">
        <v>35</v>
      </c>
      <c r="B31" s="28" t="str">
        <f>'WK IV m'!B19</f>
        <v>OS Jöhstadt</v>
      </c>
      <c r="C31" s="23">
        <f>SUM('WK IV m'!E19,'WK IV m'!G19,'WK IV m'!I19,'WK IV m'!K19,'WK IV m'!M19,'WK IV m'!O19)</f>
        <v>3834.2302746861606</v>
      </c>
      <c r="D31" s="23"/>
      <c r="E31" s="22"/>
      <c r="F31" s="22"/>
      <c r="G31" s="22"/>
      <c r="H31" s="23"/>
      <c r="I31" s="23"/>
      <c r="J31" s="18"/>
    </row>
    <row r="32" spans="1:10" ht="15.75">
      <c r="A32" s="22" t="s">
        <v>39</v>
      </c>
      <c r="B32" s="23" t="str">
        <f>'WK IV m'!B11</f>
        <v>Gym Olbernhau</v>
      </c>
      <c r="C32" s="23">
        <f>SUM('WK IV m'!E11,'WK IV m'!G11,'WK IV m'!I11,'WK IV m'!K11,'WK IV m'!M11,'WK IV m'!O11)</f>
        <v>3758.0803253610793</v>
      </c>
      <c r="D32" s="22"/>
      <c r="E32" s="22"/>
      <c r="F32" s="22"/>
      <c r="G32" s="26"/>
      <c r="H32" s="23"/>
      <c r="I32" s="26"/>
      <c r="J32" s="18"/>
    </row>
    <row r="33" spans="1:10" ht="15.75">
      <c r="A33" s="22" t="s">
        <v>47</v>
      </c>
      <c r="B33" s="30"/>
      <c r="C33" s="23"/>
      <c r="D33" s="22"/>
      <c r="E33" s="22"/>
      <c r="F33" s="26"/>
      <c r="G33" s="26"/>
      <c r="H33" s="23"/>
      <c r="I33" s="26"/>
      <c r="J33" s="18"/>
    </row>
  </sheetData>
  <sheetProtection/>
  <printOptions/>
  <pageMargins left="0.7086614173228347" right="0.57" top="0.3937007874015748" bottom="0.3937007874015748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5" max="5" width="8.7109375" style="0" customWidth="1"/>
    <col min="7" max="7" width="28.00390625" style="0" bestFit="1" customWidth="1"/>
  </cols>
  <sheetData>
    <row r="1" spans="1:9" s="19" customFormat="1" ht="21">
      <c r="A1" s="25" t="s">
        <v>58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8" t="str">
        <f>'WK II m'!B7</f>
        <v>Gym Marienberg</v>
      </c>
      <c r="C5" s="23">
        <f>SUM('WK II m'!E7,'WK II m'!G7,'WK II m'!K7,'WK II m'!I7,'WK II m'!M7,'WK II m'!O7,'WK II m'!Q7)</f>
        <v>7247.556710592995</v>
      </c>
      <c r="D5" s="23"/>
      <c r="E5" s="22"/>
      <c r="F5" s="22" t="s">
        <v>30</v>
      </c>
      <c r="G5" s="23" t="str">
        <f>'WK II w'!B11</f>
        <v>Gym Zschopau</v>
      </c>
      <c r="H5" s="23">
        <f>SUM('WK II w'!M11,'WK II w'!G11,'WK II w'!K11,'WK II w'!I11,'WK II w'!E11,'WK II w'!O11,'WK II w'!Q11)</f>
        <v>6513.7164566727715</v>
      </c>
      <c r="I5" s="23"/>
      <c r="J5" s="18"/>
    </row>
    <row r="6" spans="1:10" ht="15.75">
      <c r="A6" s="22" t="s">
        <v>31</v>
      </c>
      <c r="B6" s="28" t="str">
        <f>'WK II m'!B19</f>
        <v>OS Bergstadt Schneeberg</v>
      </c>
      <c r="C6" s="23">
        <f>SUM('WK II m'!E19,'WK II m'!G19,'WK II m'!K19,'WK II m'!I19,'WK II m'!M19,'WK II m'!O19,'WK II m'!Q19)</f>
        <v>6867.5318432172335</v>
      </c>
      <c r="D6" s="23"/>
      <c r="E6" s="22"/>
      <c r="F6" s="22" t="s">
        <v>31</v>
      </c>
      <c r="G6" s="23" t="str">
        <f>'WK II w'!B7</f>
        <v>Gymn Olbernhau</v>
      </c>
      <c r="H6" s="23">
        <f>SUM('WK II w'!M7,'WK II w'!G7,'WK II w'!K7,'WK II w'!I7,'WK II w'!E7,'WK II w'!O7,'WK II w'!Q7)</f>
        <v>4536.3157468658155</v>
      </c>
      <c r="I6" s="23"/>
      <c r="J6" s="18"/>
    </row>
    <row r="7" spans="1:10" ht="15.75">
      <c r="A7" s="22" t="s">
        <v>32</v>
      </c>
      <c r="B7" s="31" t="s">
        <v>43</v>
      </c>
      <c r="C7" s="23">
        <f>SUM('WK II m'!E11,'WK II m'!G11,'WK II m'!K11,'WK II m'!I11,'WK II m'!M11,'WK II m'!O11,'WK II m'!Q11)</f>
        <v>6817.495141300113</v>
      </c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31" t="str">
        <f>'WK II m'!B23</f>
        <v>OS Eibenstock</v>
      </c>
      <c r="C8" s="23">
        <f>SUM('WK II m'!E23,'WK II m'!G23,'WK II m'!K23,'WK II m'!I23,'WK II m'!M23,'WK II m'!O23,'WK II m'!Q23)</f>
        <v>6623.889727909586</v>
      </c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 t="s">
        <v>37</v>
      </c>
      <c r="C9" s="23">
        <f>SUM('WK II m'!E15,'WK II m'!G15,'WK II m'!K15,'WK II m'!I15,'WK II m'!M15,'WK II m'!O15,'WK II m'!Q15)</f>
        <v>6392.749454595382</v>
      </c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tr">
        <f>'WK III m'!B15</f>
        <v>OS Olbernhau</v>
      </c>
      <c r="C15" s="23">
        <f>SUM('WK III m'!E15,'WK III m'!G15,'WK III m'!I15,'WK III m'!K15,'WK III m'!M15,'WK III m'!O15,'WK III m'!Q15)</f>
        <v>6497.743192137673</v>
      </c>
      <c r="D15" s="23"/>
      <c r="E15" s="22"/>
      <c r="F15" s="22" t="s">
        <v>30</v>
      </c>
      <c r="G15" s="23" t="str">
        <f>'WK III w'!B7</f>
        <v>Gym Marienberg</v>
      </c>
      <c r="H15" s="23">
        <f>SUM('WK III w'!E7,'WK III w'!G7,'WK III w'!I7,'WK III w'!K7,'WK III w'!M7,'WK III w'!O7,'WK III w'!Q7)</f>
        <v>6226.705262013023</v>
      </c>
      <c r="I15" s="23"/>
      <c r="J15" s="18"/>
    </row>
    <row r="16" spans="1:10" ht="15.75">
      <c r="A16" s="22" t="s">
        <v>31</v>
      </c>
      <c r="B16" s="23" t="str">
        <f>'WK III m'!B11</f>
        <v>OS Lengefeld</v>
      </c>
      <c r="C16" s="23">
        <f>SUM('WK III m'!E11,'WK III m'!G11,'WK III m'!I11,'WK III m'!K11,'WK III m'!M11,'WK III m'!O11,'WK III m'!Q11)</f>
        <v>6297.715508134967</v>
      </c>
      <c r="D16" s="23"/>
      <c r="E16" s="22"/>
      <c r="F16" s="22" t="s">
        <v>31</v>
      </c>
      <c r="G16" s="23" t="str">
        <f>'WK III w'!B23</f>
        <v>OS Bebel Zschopau</v>
      </c>
      <c r="H16" s="23">
        <f>SUM('WK III w'!E23,'WK III w'!G23,'WK III w'!I23,'WK III w'!K23,'WK III w'!M23,'WK III w'!O23,'WK III w'!Q23)</f>
        <v>5951.160690944361</v>
      </c>
      <c r="I16" s="23"/>
      <c r="J16" s="18"/>
    </row>
    <row r="17" spans="1:10" ht="15.75">
      <c r="A17" s="22" t="s">
        <v>32</v>
      </c>
      <c r="B17" s="23" t="str">
        <f>'WK III m'!B19</f>
        <v>OS Auerbach</v>
      </c>
      <c r="C17" s="23">
        <f>SUM('WK III m'!E19,'WK III m'!G19,'WK III m'!I19,'WK III m'!K19,'WK III m'!M19,'WK III m'!O19,'WK III m'!Q19)</f>
        <v>6186.7476982106</v>
      </c>
      <c r="D17" s="23"/>
      <c r="E17" s="22"/>
      <c r="F17" s="22" t="s">
        <v>32</v>
      </c>
      <c r="G17" s="23" t="str">
        <f>'WK III w'!B19</f>
        <v>OS Olbernhau</v>
      </c>
      <c r="H17" s="23">
        <f>SUM('WK III w'!E19,'WK III w'!G19,'WK III w'!I19,'WK III w'!K19,'WK III w'!M19,'WK III w'!O19,'WK III w'!Q19)</f>
        <v>5863.391446612049</v>
      </c>
      <c r="I17" s="23"/>
      <c r="J17" s="18"/>
    </row>
    <row r="18" spans="1:10" ht="15.75">
      <c r="A18" s="22" t="s">
        <v>33</v>
      </c>
      <c r="B18" s="23" t="str">
        <f>'WK III m'!B7</f>
        <v>OS "Trebra" Marienberg</v>
      </c>
      <c r="C18" s="23">
        <f>SUM('WK III m'!E7,'WK III m'!G7,'WK III m'!I7,'WK III m'!K7,'WK III m'!M7,'WK III m'!O7,'WK III m'!Q7)</f>
        <v>5688.436568842738</v>
      </c>
      <c r="D18" s="23"/>
      <c r="E18" s="22"/>
      <c r="F18" s="22" t="s">
        <v>33</v>
      </c>
      <c r="G18" s="23" t="str">
        <f>'WK III w'!B27</f>
        <v>OS Bergstadt Schneeberg</v>
      </c>
      <c r="H18" s="23">
        <f>SUM('WK III w'!E27,'WK III w'!G27,'WK III w'!I27,'WK III w'!K27,'WK III w'!M27,'WK III w'!O27,'WK III w'!Q27)</f>
        <v>5567.633657476462</v>
      </c>
      <c r="I18" s="23"/>
      <c r="J18" s="18"/>
    </row>
    <row r="19" spans="1:10" ht="15.75">
      <c r="A19" s="22" t="s">
        <v>34</v>
      </c>
      <c r="B19" s="23"/>
      <c r="C19" s="23"/>
      <c r="D19" s="23"/>
      <c r="E19" s="22"/>
      <c r="F19" s="22" t="s">
        <v>34</v>
      </c>
      <c r="G19" s="23" t="str">
        <f>'WK III w'!B11</f>
        <v>Gym Olbernhau</v>
      </c>
      <c r="H19" s="23">
        <f>SUM('WK III w'!E11,'WK III w'!G11,'WK III w'!I11,'WK III w'!K11,'WK III w'!M11,'WK III w'!O11,'WK III w'!Q11)</f>
        <v>5448.696055201968</v>
      </c>
      <c r="I19" s="22"/>
      <c r="J19" s="18"/>
    </row>
    <row r="20" spans="1:10" ht="15.75">
      <c r="A20" s="22" t="s">
        <v>35</v>
      </c>
      <c r="B20" s="23"/>
      <c r="C20" s="23"/>
      <c r="D20" s="22"/>
      <c r="E20" s="22"/>
      <c r="F20" s="22" t="s">
        <v>35</v>
      </c>
      <c r="G20" s="23" t="str">
        <f>'WK III w'!B31</f>
        <v>OS Auerbach</v>
      </c>
      <c r="H20" s="23">
        <f>SUM('WK III w'!E31,'WK III w'!G31,'WK III w'!I31,'WK III w'!K31,'WK III w'!M31,'WK III w'!O31,'WK III w'!Q31)</f>
        <v>4947.700594539993</v>
      </c>
      <c r="I20" s="22"/>
      <c r="J20" s="18"/>
    </row>
    <row r="21" spans="1:10" ht="15.75">
      <c r="A21" s="22" t="s">
        <v>39</v>
      </c>
      <c r="B21" s="23"/>
      <c r="C21" s="23"/>
      <c r="D21" s="22"/>
      <c r="E21" s="22"/>
      <c r="F21" s="22" t="s">
        <v>39</v>
      </c>
      <c r="G21" s="23" t="str">
        <f>'WK III w'!B15</f>
        <v>OS Eibenstock</v>
      </c>
      <c r="H21" s="23">
        <f>SUM('WK III w'!E15,'WK III w'!G15,'WK III w'!I15,'WK III w'!K15,'WK III w'!M15,'WK III w'!O15,'WK III w'!Q15)</f>
        <v>4369.318750149432</v>
      </c>
      <c r="I21" s="22"/>
      <c r="J21" s="18"/>
    </row>
    <row r="22" spans="1:10" ht="15.75">
      <c r="A22" s="22"/>
      <c r="B22" s="22"/>
      <c r="C22" s="23"/>
      <c r="D22" s="22"/>
      <c r="E22" s="22"/>
      <c r="F22" s="22" t="s">
        <v>47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tr">
        <f>'WK IV m'!B7</f>
        <v>Gym Marienberg</v>
      </c>
      <c r="C26" s="23">
        <f>SUM('WK IV m'!E7,'WK IV m'!G7,'WK IV m'!I7,'WK IV m'!K7,'WK IV m'!M7,'WK IV m'!O7)</f>
        <v>4478.051492553699</v>
      </c>
      <c r="D26" s="22"/>
      <c r="E26" s="22"/>
      <c r="F26" s="22" t="s">
        <v>30</v>
      </c>
      <c r="G26" s="23" t="str">
        <f>'WK IV w'!B7</f>
        <v>Gym Marienberg</v>
      </c>
      <c r="H26" s="23">
        <f>SUM('WK IV w'!E7,'WK IV w'!G7,'WK IV w'!I7,'WK IV w'!K7,'WK IV w'!M7,'WK IV w'!O7)</f>
        <v>4814.383398784317</v>
      </c>
      <c r="I26" s="23"/>
      <c r="J26" s="18"/>
    </row>
    <row r="27" spans="1:10" ht="15.75">
      <c r="A27" s="22" t="s">
        <v>31</v>
      </c>
      <c r="B27" s="23" t="str">
        <f>'WK IV m'!B31</f>
        <v>OS Eibenstock</v>
      </c>
      <c r="C27" s="23">
        <f>SUM('WK IV m'!E31,'WK IV m'!G31,'WK IV m'!I31,'WK IV m'!K31,'WK IV m'!M31,'WK IV m'!O31)</f>
        <v>4331.493781918432</v>
      </c>
      <c r="D27" s="23"/>
      <c r="E27" s="22"/>
      <c r="F27" s="22" t="s">
        <v>31</v>
      </c>
      <c r="G27" s="23" t="str">
        <f>'WK IV w'!B15</f>
        <v>OS Auerbach</v>
      </c>
      <c r="H27" s="23">
        <f>SUM('WK IV w'!E15,'WK IV w'!G15,'WK IV w'!I15,'WK IV w'!K15,'WK IV w'!M15,'WK IV w'!O15)</f>
        <v>4438.101368116366</v>
      </c>
      <c r="I27" s="23"/>
      <c r="J27" s="18"/>
    </row>
    <row r="28" spans="1:10" ht="15.75">
      <c r="A28" s="22" t="s">
        <v>32</v>
      </c>
      <c r="B28" s="23" t="str">
        <f>'WK IV m'!B15</f>
        <v>LKG Annaberg</v>
      </c>
      <c r="C28" s="23">
        <f>SUM('WK IV m'!E15,'WK IV m'!G15,'WK IV m'!I15,'WK IV m'!K15,'WK IV m'!M15,'WK IV m'!O15)</f>
        <v>4175.432842069308</v>
      </c>
      <c r="D28" s="23"/>
      <c r="E28" s="22"/>
      <c r="F28" s="22" t="s">
        <v>32</v>
      </c>
      <c r="G28" s="23" t="str">
        <f>'WK IV w'!B19</f>
        <v>LKG Annaberg</v>
      </c>
      <c r="H28" s="23">
        <f>SUM('WK IV w'!E19,'WK IV w'!G19,'WK IV w'!I19,'WK IV w'!K19,'WK IV w'!M19,'WK IV w'!O19)</f>
        <v>4358.6523034963675</v>
      </c>
      <c r="I28" s="23"/>
      <c r="J28" s="18"/>
    </row>
    <row r="29" spans="1:10" ht="15.75">
      <c r="A29" s="22" t="s">
        <v>33</v>
      </c>
      <c r="B29" s="23" t="str">
        <f>'WK IV m'!B23</f>
        <v>OS Bergstadt Schneeberg</v>
      </c>
      <c r="C29" s="23">
        <f>SUM('WK IV m'!E23,'WK IV m'!G23,'WK IV m'!I23,'WK IV m'!K23,'WK IV m'!M23,'WK IV m'!O23)</f>
        <v>4065.169725528107</v>
      </c>
      <c r="D29" s="23"/>
      <c r="E29" s="22"/>
      <c r="F29" s="22" t="s">
        <v>33</v>
      </c>
      <c r="G29" s="23" t="str">
        <f>'WK IV w'!B11</f>
        <v>Gym Olbernhau</v>
      </c>
      <c r="H29" s="23">
        <f>SUM('WK IV w'!E11,'WK IV w'!G11,'WK IV w'!I11,'WK IV w'!K11,'WK IV w'!M11,'WK IV w'!O11)</f>
        <v>4174.203981690664</v>
      </c>
      <c r="I29" s="23"/>
      <c r="J29" s="18"/>
    </row>
    <row r="30" spans="1:10" ht="15.75">
      <c r="A30" s="22" t="s">
        <v>34</v>
      </c>
      <c r="B30" s="23" t="str">
        <f>'WK IV m'!B27</f>
        <v>OS Auerbach</v>
      </c>
      <c r="C30" s="23">
        <f>SUM('WK IV m'!E27,'WK IV m'!G27,'WK IV m'!I27,'WK IV m'!K27,'WK IV m'!M27,'WK IV m'!O27)</f>
        <v>3844.2201474258127</v>
      </c>
      <c r="D30" s="23"/>
      <c r="E30" s="22"/>
      <c r="F30" s="22" t="s">
        <v>34</v>
      </c>
      <c r="G30" s="30"/>
      <c r="H30" s="23"/>
      <c r="I30" s="23"/>
      <c r="J30" s="18"/>
    </row>
    <row r="31" spans="1:10" ht="15.75">
      <c r="A31" s="22" t="s">
        <v>35</v>
      </c>
      <c r="B31" s="28" t="str">
        <f>'WK IV m'!B19</f>
        <v>OS Jöhstadt</v>
      </c>
      <c r="C31" s="23">
        <f>SUM('WK IV m'!E19,'WK IV m'!G19,'WK IV m'!I19,'WK IV m'!K19,'WK IV m'!M19,'WK IV m'!O19)</f>
        <v>3834.2302746861606</v>
      </c>
      <c r="D31" s="23"/>
      <c r="E31" s="22"/>
      <c r="F31" s="22"/>
      <c r="G31" s="22"/>
      <c r="H31" s="23"/>
      <c r="I31" s="23"/>
      <c r="J31" s="18"/>
    </row>
    <row r="32" spans="1:10" ht="15.75">
      <c r="A32" s="22" t="s">
        <v>39</v>
      </c>
      <c r="B32" s="23" t="str">
        <f>'WK IV m'!B11</f>
        <v>Gym Olbernhau</v>
      </c>
      <c r="C32" s="23">
        <f>SUM('WK IV m'!E11,'WK IV m'!G11,'WK IV m'!I11,'WK IV m'!K11,'WK IV m'!M11,'WK IV m'!O11)</f>
        <v>3758.0803253610793</v>
      </c>
      <c r="D32" s="22"/>
      <c r="E32" s="22"/>
      <c r="F32" s="22"/>
      <c r="G32" s="22"/>
      <c r="H32" s="23"/>
      <c r="I32" s="26"/>
      <c r="J32" s="18"/>
    </row>
    <row r="33" spans="1:9" ht="15.75">
      <c r="A33" s="22" t="s">
        <v>47</v>
      </c>
      <c r="B33" s="30"/>
      <c r="C33" s="23"/>
      <c r="D33" s="26"/>
      <c r="E33" s="26"/>
      <c r="F33" s="26"/>
      <c r="G33" s="26"/>
      <c r="H33" s="26"/>
      <c r="I33" s="26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1"/>
  <sheetViews>
    <sheetView zoomScalePageLayoutView="0" workbookViewId="0" topLeftCell="A1">
      <selection activeCell="P19" sqref="P19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57421875" style="0" customWidth="1"/>
    <col min="5" max="5" width="9.57421875" style="0" bestFit="1" customWidth="1"/>
    <col min="6" max="6" width="7.00390625" style="0" bestFit="1" customWidth="1"/>
    <col min="7" max="7" width="10.8515625" style="0" bestFit="1" customWidth="1"/>
    <col min="8" max="8" width="7.7109375" style="0" bestFit="1" customWidth="1"/>
    <col min="9" max="9" width="9.57421875" style="0" bestFit="1" customWidth="1"/>
    <col min="10" max="10" width="7.140625" style="0" bestFit="1" customWidth="1"/>
    <col min="11" max="11" width="10.28125" style="0" bestFit="1" customWidth="1"/>
    <col min="12" max="12" width="7.00390625" style="0" bestFit="1" customWidth="1"/>
    <col min="13" max="13" width="9.00390625" style="0" bestFit="1" customWidth="1"/>
    <col min="14" max="14" width="8.421875" style="0" bestFit="1" customWidth="1"/>
    <col min="15" max="15" width="12.140625" style="0" bestFit="1" customWidth="1"/>
    <col min="16" max="16" width="8.421875" style="0" bestFit="1" customWidth="1"/>
    <col min="17" max="17" width="9.421875" style="0" customWidth="1"/>
  </cols>
  <sheetData>
    <row r="1" spans="1:17" ht="20.25">
      <c r="A1" s="13"/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3</v>
      </c>
      <c r="E3" s="1"/>
      <c r="F3" s="1" t="s">
        <v>10</v>
      </c>
      <c r="G3" s="1"/>
      <c r="H3" s="1" t="s">
        <v>1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22</v>
      </c>
      <c r="Q3" s="5"/>
    </row>
    <row r="4" spans="1:17" ht="15.75">
      <c r="A4" s="10"/>
      <c r="B4" s="8"/>
      <c r="C4" s="5"/>
      <c r="D4" s="12">
        <v>4.2</v>
      </c>
      <c r="E4" s="2">
        <f>((SQRT(D4)-1.15028)/0.00219)</f>
        <v>410.55258136617346</v>
      </c>
      <c r="F4" s="12">
        <v>11.46</v>
      </c>
      <c r="G4" s="2">
        <f>(((75/(F4+0.24))-4.1)/0.00664)</f>
        <v>347.9301822675316</v>
      </c>
      <c r="H4" s="12">
        <v>9.1</v>
      </c>
      <c r="I4" s="2">
        <f>((SQRT(H4)-1.425)/0.0037)</f>
        <v>430.1677367026138</v>
      </c>
      <c r="J4" s="12">
        <v>1.3</v>
      </c>
      <c r="K4" s="2">
        <f>((SQRT(J4)-0.841)/0.0008)</f>
        <v>373.96928137392257</v>
      </c>
      <c r="L4" s="12">
        <v>36</v>
      </c>
      <c r="M4" s="2">
        <f>((SQRT(L4)-1.936)/0.0124)</f>
        <v>327.741935483871</v>
      </c>
      <c r="N4" s="12">
        <v>43.53</v>
      </c>
      <c r="O4" s="5">
        <f>(((300/(N4+0.24))-4.1)/0.00332)</f>
        <v>829.5209625341669</v>
      </c>
      <c r="P4" s="12">
        <v>164</v>
      </c>
      <c r="Q4" s="5">
        <f>(((800/P4)-2.325)/0.00644)</f>
        <v>396.43614603847897</v>
      </c>
    </row>
    <row r="5" spans="1:17" ht="15.75">
      <c r="A5" s="10"/>
      <c r="B5" s="8"/>
      <c r="C5" s="5"/>
      <c r="D5" s="12">
        <v>4.94</v>
      </c>
      <c r="E5" s="2">
        <f>((SQRT(D5)-1.15028)/0.00219)</f>
        <v>489.6488936480763</v>
      </c>
      <c r="F5" s="12">
        <v>11.06</v>
      </c>
      <c r="G5" s="2">
        <f>(((75/(F5+0.24))-4.1)/0.00664)</f>
        <v>382.10363578206625</v>
      </c>
      <c r="H5" s="12">
        <v>8.36</v>
      </c>
      <c r="I5" s="2">
        <f>((SQRT(H5)-1.425)/0.0037)</f>
        <v>396.31525917843027</v>
      </c>
      <c r="J5" s="12">
        <v>1.2</v>
      </c>
      <c r="K5" s="2">
        <f>((SQRT(J5)-0.841)/0.0008)</f>
        <v>318.0563937629152</v>
      </c>
      <c r="L5" s="12">
        <v>37</v>
      </c>
      <c r="M5" s="2">
        <f>((SQRT(L5)-1.936)/0.0124)</f>
        <v>334.4163330885661</v>
      </c>
      <c r="N5" s="12"/>
      <c r="O5" s="5">
        <v>0</v>
      </c>
      <c r="P5" s="12">
        <v>160</v>
      </c>
      <c r="Q5" s="5">
        <f>(((800/P5)-2.325)/0.00644)</f>
        <v>415.37267080745335</v>
      </c>
    </row>
    <row r="6" spans="1:17" ht="15.75">
      <c r="A6" s="10"/>
      <c r="B6" s="8"/>
      <c r="C6" s="5"/>
      <c r="D6" s="12">
        <v>3.8</v>
      </c>
      <c r="E6" s="2">
        <f>((SQRT(D6)-1.15028)/0.00219)</f>
        <v>364.8761958729647</v>
      </c>
      <c r="F6" s="12">
        <v>10.29</v>
      </c>
      <c r="G6" s="2">
        <f>(((75/(F6+0.24))-4.1)/0.00664)</f>
        <v>455.1968557992656</v>
      </c>
      <c r="H6" s="12">
        <v>7.73</v>
      </c>
      <c r="I6" s="2">
        <f>((SQRT(H6)-1.425)/0.0037)</f>
        <v>366.29398780853205</v>
      </c>
      <c r="J6" s="12">
        <v>1.25</v>
      </c>
      <c r="K6" s="2">
        <f>((SQRT(J6)-0.841)/0.0008)</f>
        <v>346.29248593736867</v>
      </c>
      <c r="L6" s="12">
        <v>47.5</v>
      </c>
      <c r="M6" s="2">
        <f>((SQRT(L6)-1.936)/0.0124)</f>
        <v>399.6793851649283</v>
      </c>
      <c r="N6" s="12"/>
      <c r="O6" s="5">
        <v>0</v>
      </c>
      <c r="P6" s="12">
        <v>158</v>
      </c>
      <c r="Q6" s="5">
        <f>(((800/P6)-2.325)/0.00644)</f>
        <v>425.2004874597059</v>
      </c>
    </row>
    <row r="7" spans="1:17" ht="15.75">
      <c r="A7" s="10" t="e">
        <f>RANK(C7,C4:C31,0)</f>
        <v>#DIV/0!</v>
      </c>
      <c r="B7" s="9" t="s">
        <v>37</v>
      </c>
      <c r="C7" s="5">
        <f>SUM(D7:Q7)</f>
        <v>5688.436568842738</v>
      </c>
      <c r="D7" s="11"/>
      <c r="E7" s="2">
        <f>SUM(E4:E6)-MIN(E4:E6)</f>
        <v>900.2014750142498</v>
      </c>
      <c r="F7" s="11"/>
      <c r="G7" s="2">
        <f>SUM(G4:G6)-MIN(G4:G6)</f>
        <v>837.3004915813319</v>
      </c>
      <c r="H7" s="11"/>
      <c r="I7" s="2">
        <f>SUM(I4:I6)-MIN(I4:I6)</f>
        <v>826.4829958810441</v>
      </c>
      <c r="J7" s="11"/>
      <c r="K7" s="2">
        <f>SUM(K4:K6)-MIN(K4:K6)</f>
        <v>720.2617673112914</v>
      </c>
      <c r="L7" s="11"/>
      <c r="M7" s="2">
        <f>SUM(M4:M6)-MIN(M4:M6)</f>
        <v>734.0957182534944</v>
      </c>
      <c r="N7" s="12"/>
      <c r="O7" s="2">
        <f>SUM(O4:O5)-MIN(O4:O5)</f>
        <v>829.5209625341669</v>
      </c>
      <c r="P7" s="12"/>
      <c r="Q7" s="2">
        <f>SUM(Q4:Q6)-MIN(Q4:Q6)</f>
        <v>840.5731582671594</v>
      </c>
    </row>
    <row r="8" spans="1:17" ht="15.75">
      <c r="A8" s="10"/>
      <c r="B8" s="9"/>
      <c r="C8" s="5"/>
      <c r="D8" s="12">
        <v>4.19</v>
      </c>
      <c r="E8" s="2">
        <f>((SQRT(D8)-1.15028)/0.00219)</f>
        <v>409.4378762766539</v>
      </c>
      <c r="F8" s="12">
        <v>10.26</v>
      </c>
      <c r="G8" s="2">
        <f>(((75/(F8+0.24))-4.1)/0.00664)</f>
        <v>458.2616179001722</v>
      </c>
      <c r="H8" s="12">
        <v>9.45</v>
      </c>
      <c r="I8" s="2">
        <f>((SQRT(H8)-1.425)/0.0037)</f>
        <v>445.69871075348095</v>
      </c>
      <c r="J8" s="12">
        <v>1.25</v>
      </c>
      <c r="K8" s="2">
        <f>((SQRT(J8)-0.841)/0.0008)</f>
        <v>346.29248593736867</v>
      </c>
      <c r="L8" s="12">
        <v>48</v>
      </c>
      <c r="M8" s="2">
        <f>((SQRT(L8)-1.936)/0.0124)</f>
        <v>402.59703469963785</v>
      </c>
      <c r="N8" s="12">
        <v>39.83</v>
      </c>
      <c r="O8" s="5">
        <f>(((300/(N8+0.24))-4.1)/0.00332)</f>
        <v>1020.149978501478</v>
      </c>
      <c r="P8" s="12">
        <v>160</v>
      </c>
      <c r="Q8" s="5">
        <f>(((800/P8)-2.325)/0.00644)</f>
        <v>415.37267080745335</v>
      </c>
    </row>
    <row r="9" spans="1:17" ht="15.75">
      <c r="A9" s="10"/>
      <c r="B9" s="8"/>
      <c r="C9" s="5"/>
      <c r="D9" s="12">
        <v>4.58</v>
      </c>
      <c r="E9" s="2">
        <f>((SQRT(D9)-1.15028)/0.00219)</f>
        <v>451.969614567703</v>
      </c>
      <c r="F9" s="12">
        <v>11.12</v>
      </c>
      <c r="G9" s="2">
        <f>(((75/(F9+0.24))-4.1)/0.00664)</f>
        <v>376.8241982012558</v>
      </c>
      <c r="H9" s="12">
        <v>8.45</v>
      </c>
      <c r="I9" s="2">
        <f>((SQRT(H9)-1.425)/0.0037)</f>
        <v>400.510370472899</v>
      </c>
      <c r="J9" s="12">
        <v>1.45</v>
      </c>
      <c r="K9" s="2">
        <f>((SQRT(J9)-0.841)/0.0008)</f>
        <v>453.94932234903706</v>
      </c>
      <c r="L9" s="12">
        <v>48</v>
      </c>
      <c r="M9" s="2">
        <f>((SQRT(L9)-1.936)/0.0124)</f>
        <v>402.59703469963785</v>
      </c>
      <c r="N9" s="12"/>
      <c r="O9" s="5">
        <v>0</v>
      </c>
      <c r="P9" s="12">
        <v>151</v>
      </c>
      <c r="Q9" s="5">
        <f>(((800/P9)-2.325)/0.00644)</f>
        <v>461.6480194150796</v>
      </c>
    </row>
    <row r="10" spans="1:17" ht="15.75">
      <c r="A10" s="10"/>
      <c r="B10" s="8"/>
      <c r="C10" s="5"/>
      <c r="D10" s="12">
        <v>4.62</v>
      </c>
      <c r="E10" s="2">
        <f>((SQRT(D10)-1.15028)/0.00219)</f>
        <v>456.2276374522684</v>
      </c>
      <c r="F10" s="12">
        <v>10.55</v>
      </c>
      <c r="G10" s="2">
        <f>(((75/(F10+0.24))-4.1)/0.00664)</f>
        <v>429.34946458679946</v>
      </c>
      <c r="H10" s="12">
        <v>8.35</v>
      </c>
      <c r="I10" s="2">
        <f>((SQRT(H10)-1.425)/0.0037)</f>
        <v>395.84774469188585</v>
      </c>
      <c r="J10" s="12">
        <v>1.4</v>
      </c>
      <c r="K10" s="2">
        <f>((SQRT(J10)-0.841)/0.0008)</f>
        <v>427.769945774904</v>
      </c>
      <c r="L10" s="12">
        <v>49.5</v>
      </c>
      <c r="M10" s="2">
        <f>((SQRT(L10)-1.936)/0.0124)</f>
        <v>411.2599709463826</v>
      </c>
      <c r="N10" s="12"/>
      <c r="O10" s="5">
        <v>0</v>
      </c>
      <c r="P10" s="12">
        <v>148</v>
      </c>
      <c r="Q10" s="5">
        <f>(((800/P10)-2.325)/0.00644)</f>
        <v>478.323820715125</v>
      </c>
    </row>
    <row r="11" spans="1:17" ht="15.75">
      <c r="A11" s="10" t="e">
        <f>RANK(C11,C4:C31,0)</f>
        <v>#DIV/0!</v>
      </c>
      <c r="B11" s="9" t="s">
        <v>36</v>
      </c>
      <c r="C11" s="5">
        <f>SUM(D11:Q11)</f>
        <v>6297.715508134967</v>
      </c>
      <c r="D11" s="11"/>
      <c r="E11" s="2">
        <f>SUM(E8:E10)-MIN(E8:E10)</f>
        <v>908.1972520199715</v>
      </c>
      <c r="F11" s="11"/>
      <c r="G11" s="2">
        <f>SUM(G8:G10)-MIN(G8:G10)</f>
        <v>887.6110824869718</v>
      </c>
      <c r="H11" s="11"/>
      <c r="I11" s="2">
        <f>SUM(I8:I10)-MIN(I8:I10)</f>
        <v>846.2090812263801</v>
      </c>
      <c r="J11" s="11"/>
      <c r="K11" s="2">
        <f>SUM(K8:K10)-MIN(K8:K10)</f>
        <v>881.7192681239412</v>
      </c>
      <c r="L11" s="11"/>
      <c r="M11" s="2">
        <f>SUM(M8:M10)-MIN(M8:M10)</f>
        <v>813.8570056460205</v>
      </c>
      <c r="N11" s="12"/>
      <c r="O11" s="2">
        <f>SUM(O8:O9)-MIN(O8:O9)</f>
        <v>1020.149978501478</v>
      </c>
      <c r="P11" s="12"/>
      <c r="Q11" s="2">
        <f>SUM(Q8:Q10)-MIN(Q8:Q10)</f>
        <v>939.9718401302047</v>
      </c>
    </row>
    <row r="12" spans="1:17" ht="15.75">
      <c r="A12" s="10"/>
      <c r="B12" s="8"/>
      <c r="C12" s="5"/>
      <c r="D12" s="12">
        <v>4.39</v>
      </c>
      <c r="E12" s="2">
        <f>((SQRT(D12)-1.15028)/0.00219)</f>
        <v>431.4852438245188</v>
      </c>
      <c r="F12" s="12">
        <v>10.92</v>
      </c>
      <c r="G12" s="2">
        <f>(((75/(F12+0.24))-4.1)/0.00664)</f>
        <v>394.6430884829642</v>
      </c>
      <c r="H12" s="12">
        <v>13.27</v>
      </c>
      <c r="I12" s="2">
        <f>((SQRT(H12)-1.425)/0.0037)</f>
        <v>599.4057081128099</v>
      </c>
      <c r="J12" s="12">
        <v>1.51</v>
      </c>
      <c r="K12" s="2">
        <f>((SQRT(J12)-0.841)/0.0008)</f>
        <v>484.7757159305635</v>
      </c>
      <c r="L12" s="12">
        <v>52</v>
      </c>
      <c r="M12" s="2">
        <f>((SQRT(L12)-1.936)/0.0124)</f>
        <v>425.4114960425789</v>
      </c>
      <c r="N12" s="12">
        <v>42.09</v>
      </c>
      <c r="O12" s="5">
        <f>(((300/(N12+0.24))-4.1)/0.00332)</f>
        <v>899.7506681581036</v>
      </c>
      <c r="P12" s="12">
        <v>233</v>
      </c>
      <c r="Q12" s="5">
        <f>(((800/P12)-2.325)/0.00644)</f>
        <v>172.12366379655052</v>
      </c>
    </row>
    <row r="13" spans="1:17" ht="15.75">
      <c r="A13" s="10"/>
      <c r="B13" s="8"/>
      <c r="C13" s="5"/>
      <c r="D13" s="12">
        <v>5.07</v>
      </c>
      <c r="E13" s="2">
        <f>((SQRT(D13)-1.15028)/0.00219)</f>
        <v>502.91600449294094</v>
      </c>
      <c r="F13" s="12">
        <v>9.69</v>
      </c>
      <c r="G13" s="2">
        <f>(((75/(F13+0.24))-4.1)/0.00664)</f>
        <v>520.01055581844</v>
      </c>
      <c r="H13" s="12">
        <v>9.34</v>
      </c>
      <c r="I13" s="2">
        <f>((SQRT(H13)-1.425)/0.0037)</f>
        <v>440.84901567222295</v>
      </c>
      <c r="J13" s="12">
        <v>1.4</v>
      </c>
      <c r="K13" s="2">
        <f>((SQRT(J13)-0.841)/0.0008)</f>
        <v>427.769945774904</v>
      </c>
      <c r="L13" s="12">
        <v>56.5</v>
      </c>
      <c r="M13" s="2">
        <f>((SQRT(L13)-1.936)/0.0124)</f>
        <v>450.05227332148826</v>
      </c>
      <c r="N13" s="12"/>
      <c r="O13" s="5">
        <v>0</v>
      </c>
      <c r="P13" s="12">
        <v>168</v>
      </c>
      <c r="Q13" s="5">
        <f>(((800/P13)-2.325)/0.00644)</f>
        <v>378.40136054421765</v>
      </c>
    </row>
    <row r="14" spans="1:17" ht="15.75">
      <c r="A14" s="10"/>
      <c r="B14" s="8"/>
      <c r="C14" s="5"/>
      <c r="D14" s="12">
        <v>4.1</v>
      </c>
      <c r="E14" s="2">
        <f>((SQRT(D14)-1.15028)/0.00219)</f>
        <v>399.34505622450155</v>
      </c>
      <c r="F14" s="12">
        <v>10.05</v>
      </c>
      <c r="G14" s="2">
        <f>(((75/(F14+0.24))-4.1)/0.00664)</f>
        <v>480.2153219291158</v>
      </c>
      <c r="H14" s="12">
        <v>7.18</v>
      </c>
      <c r="I14" s="2">
        <f>((SQRT(H14)-1.425)/0.0037)</f>
        <v>339.0681625391493</v>
      </c>
      <c r="J14" s="12">
        <v>1.35</v>
      </c>
      <c r="K14" s="2">
        <f>((SQRT(J14)-0.841)/0.0008)</f>
        <v>401.1187548277814</v>
      </c>
      <c r="L14" s="12">
        <v>54</v>
      </c>
      <c r="M14" s="2">
        <f>((SQRT(L14)-1.936)/0.0124)</f>
        <v>436.48945389915605</v>
      </c>
      <c r="N14" s="12"/>
      <c r="O14" s="5">
        <v>0</v>
      </c>
      <c r="P14" s="12">
        <v>154</v>
      </c>
      <c r="Q14" s="5">
        <f>(((800/P14)-2.325)/0.00644)</f>
        <v>445.6219246591917</v>
      </c>
    </row>
    <row r="15" spans="1:17" ht="15.75">
      <c r="A15" s="10" t="e">
        <f>RANK(C15,C4:C31,0)</f>
        <v>#DIV/0!</v>
      </c>
      <c r="B15" s="9" t="s">
        <v>41</v>
      </c>
      <c r="C15" s="5">
        <f>SUM(D15:Q15)</f>
        <v>6497.743192137673</v>
      </c>
      <c r="D15" s="11"/>
      <c r="E15" s="2">
        <f>SUM(E12:E14)-MIN(E12:E14)</f>
        <v>934.4012483174597</v>
      </c>
      <c r="F15" s="11"/>
      <c r="G15" s="2">
        <f>SUM(G12:G14)-MIN(G12:G14)</f>
        <v>1000.2258777475558</v>
      </c>
      <c r="H15" s="11"/>
      <c r="I15" s="2">
        <f>SUM(I12:I14)-MIN(I12:I14)</f>
        <v>1040.2547237850326</v>
      </c>
      <c r="J15" s="11"/>
      <c r="K15" s="2">
        <f>SUM(K12:K14)-MIN(K12:K14)</f>
        <v>912.5456617054674</v>
      </c>
      <c r="L15" s="11"/>
      <c r="M15" s="2">
        <f>SUM(M12:M14)-MIN(M12:M14)</f>
        <v>886.5417272206444</v>
      </c>
      <c r="N15" s="12"/>
      <c r="O15" s="2">
        <f>SUM(O12:O13)-MIN(O12:O13)</f>
        <v>899.7506681581036</v>
      </c>
      <c r="P15" s="12"/>
      <c r="Q15" s="2">
        <f>SUM(Q12:Q14)-MIN(Q12:Q14)</f>
        <v>824.0232852034093</v>
      </c>
    </row>
    <row r="16" spans="1:17" ht="15.75">
      <c r="A16" s="10"/>
      <c r="B16" s="8"/>
      <c r="C16" s="5"/>
      <c r="D16" s="12">
        <v>4.36</v>
      </c>
      <c r="E16" s="2">
        <f>((SQRT(D16)-1.15028)/0.00219)</f>
        <v>428.2106400831553</v>
      </c>
      <c r="F16" s="12">
        <v>10.74</v>
      </c>
      <c r="G16" s="2">
        <f>(((75/(F16+0.24))-4.1)/0.00664)</f>
        <v>411.2351043518336</v>
      </c>
      <c r="H16" s="12">
        <v>11.2</v>
      </c>
      <c r="I16" s="2">
        <f>((SQRT(H16)-1.425)/0.0037)</f>
        <v>519.3621908476492</v>
      </c>
      <c r="J16" s="12">
        <v>1.54</v>
      </c>
      <c r="K16" s="2">
        <f>((SQRT(J16)-0.841)/0.0008)</f>
        <v>499.9592057488572</v>
      </c>
      <c r="L16" s="12">
        <v>37.5</v>
      </c>
      <c r="M16" s="2">
        <f>((SQRT(L16)-1.936)/0.0124)</f>
        <v>337.71970620628593</v>
      </c>
      <c r="N16" s="12">
        <v>39.63</v>
      </c>
      <c r="O16" s="5">
        <f>(((300/(N16+0.24))-4.1)/0.00332)</f>
        <v>1031.4621918826547</v>
      </c>
      <c r="P16" s="12">
        <v>233</v>
      </c>
      <c r="Q16" s="5">
        <f>(((800/P16)-2.325)/0.00644)</f>
        <v>172.12366379655052</v>
      </c>
    </row>
    <row r="17" spans="1:17" ht="15.75">
      <c r="A17" s="10"/>
      <c r="B17" s="8"/>
      <c r="C17" s="5"/>
      <c r="D17" s="12">
        <v>4.56</v>
      </c>
      <c r="E17" s="2">
        <f>((SQRT(D17)-1.15028)/0.00219)</f>
        <v>449.8336303224942</v>
      </c>
      <c r="F17" s="12">
        <v>10.71</v>
      </c>
      <c r="G17" s="2">
        <f>(((75/(F17+0.24))-4.1)/0.00664)</f>
        <v>414.05347417065514</v>
      </c>
      <c r="H17" s="12">
        <v>8.98</v>
      </c>
      <c r="I17" s="2">
        <f>((SQRT(H17)-1.425)/0.0037)</f>
        <v>424.774273717389</v>
      </c>
      <c r="J17" s="12">
        <v>1.35</v>
      </c>
      <c r="K17" s="2">
        <f>((SQRT(J17)-0.841)/0.0008)</f>
        <v>401.1187548277814</v>
      </c>
      <c r="L17" s="12">
        <v>37.5</v>
      </c>
      <c r="M17" s="2">
        <f>((SQRT(L17)-1.936)/0.0124)</f>
        <v>337.71970620628593</v>
      </c>
      <c r="N17" s="12">
        <v>42.09</v>
      </c>
      <c r="O17" s="5">
        <f>(((300/(N17+0.24))-4.1)/0.00332)</f>
        <v>899.7506681581036</v>
      </c>
      <c r="P17" s="12">
        <v>161</v>
      </c>
      <c r="Q17" s="5">
        <f>(((800/P17)-2.325)/0.00644)</f>
        <v>410.5503259905095</v>
      </c>
    </row>
    <row r="18" spans="1:17" ht="15.75">
      <c r="A18" s="10"/>
      <c r="B18" s="8"/>
      <c r="C18" s="5"/>
      <c r="D18" s="12">
        <v>4.4</v>
      </c>
      <c r="E18" s="2">
        <f>((SQRT(D18)-1.15028)/0.00219)</f>
        <v>432.5742905663485</v>
      </c>
      <c r="F18" s="12">
        <v>10.69</v>
      </c>
      <c r="G18" s="2">
        <f>(((75/(F18+0.24))-4.1)/0.00664)</f>
        <v>415.9409825946055</v>
      </c>
      <c r="H18" s="12">
        <v>8.09</v>
      </c>
      <c r="I18" s="2">
        <f>((SQRT(H18)-1.425)/0.0037)</f>
        <v>383.5925758555617</v>
      </c>
      <c r="J18" s="12">
        <v>1.3</v>
      </c>
      <c r="K18" s="2">
        <f>((SQRT(J18)-0.841)/0.0008)</f>
        <v>373.96928137392257</v>
      </c>
      <c r="L18" s="12">
        <v>50</v>
      </c>
      <c r="M18" s="2">
        <f>((SQRT(L18)-1.936)/0.0124)</f>
        <v>414.11837192463514</v>
      </c>
      <c r="N18" s="12"/>
      <c r="O18" s="5">
        <v>0</v>
      </c>
      <c r="P18" s="12">
        <v>156</v>
      </c>
      <c r="Q18" s="5">
        <f>(((800/P18)-2.325)/0.00644)</f>
        <v>435.2802994107342</v>
      </c>
    </row>
    <row r="19" spans="1:17" ht="15.75">
      <c r="A19" s="10" t="e">
        <f>RANK(C19,C4:C31,0)</f>
        <v>#DIV/0!</v>
      </c>
      <c r="B19" s="9" t="s">
        <v>38</v>
      </c>
      <c r="C19" s="5">
        <f>SUM(D19:Q19)</f>
        <v>6186.7476982106</v>
      </c>
      <c r="D19" s="11"/>
      <c r="E19" s="2">
        <f>SUM(E16:E18)-MIN(E16:E18)</f>
        <v>882.4079208888427</v>
      </c>
      <c r="F19" s="11"/>
      <c r="G19" s="2">
        <f>SUM(G16:G18)-MIN(G16:G18)</f>
        <v>829.9944567652606</v>
      </c>
      <c r="H19" s="11"/>
      <c r="I19" s="2">
        <f>SUM(I16:I18)-MIN(I16:I18)</f>
        <v>944.1364645650384</v>
      </c>
      <c r="J19" s="11"/>
      <c r="K19" s="2">
        <f>SUM(K16:K18)-MIN(K16:K18)</f>
        <v>901.0779605766386</v>
      </c>
      <c r="L19" s="11"/>
      <c r="M19" s="2">
        <f>SUM(M16:M18)-MIN(M16:M18)</f>
        <v>751.8380781309211</v>
      </c>
      <c r="N19" s="12"/>
      <c r="O19" s="2">
        <f>SUM(O16:O17)-MIN(O16:O17)</f>
        <v>1031.4621918826547</v>
      </c>
      <c r="P19" s="12"/>
      <c r="Q19" s="2">
        <f>SUM(Q16:Q18)-MIN(Q16:Q18)</f>
        <v>845.8306254012437</v>
      </c>
    </row>
    <row r="20" spans="1:17" ht="15.75">
      <c r="A20" s="10"/>
      <c r="B20" s="8"/>
      <c r="C20" s="5"/>
      <c r="D20" s="12"/>
      <c r="E20" s="2">
        <f>((SQRT(D20)-1.15028)/0.00219)</f>
        <v>-525.2420091324201</v>
      </c>
      <c r="F20" s="12"/>
      <c r="G20" s="2">
        <f>(((75/(F20+0.24))-4.1)/0.00664)</f>
        <v>46445.783132530116</v>
      </c>
      <c r="H20" s="12"/>
      <c r="I20" s="2">
        <f>((SQRT(H20)-1.425)/0.0037)</f>
        <v>-385.13513513513516</v>
      </c>
      <c r="J20" s="12"/>
      <c r="K20" s="2">
        <f>((SQRT(J20)-0.841)/0.0008)</f>
        <v>-1051.25</v>
      </c>
      <c r="L20" s="12"/>
      <c r="M20" s="2">
        <f>((SQRT(L20)-1.936)/0.0124)</f>
        <v>-156.1290322580645</v>
      </c>
      <c r="N20" s="12"/>
      <c r="O20" s="5">
        <f>(((300/(N20+0.24))-4.1)/0.00332)</f>
        <v>375271.0843373494</v>
      </c>
      <c r="P20" s="12"/>
      <c r="Q20" s="5" t="e">
        <f>(((800/P20)-2.325)/0.00644)</f>
        <v>#DIV/0!</v>
      </c>
    </row>
    <row r="21" spans="1:17" ht="15.75">
      <c r="A21" s="10"/>
      <c r="B21" s="8"/>
      <c r="C21" s="5"/>
      <c r="D21" s="12"/>
      <c r="E21" s="2">
        <f>((SQRT(D21)-1.15028)/0.00219)</f>
        <v>-525.2420091324201</v>
      </c>
      <c r="F21" s="12"/>
      <c r="G21" s="2">
        <f>(((75/(F21+0.24))-4.1)/0.00664)</f>
        <v>46445.783132530116</v>
      </c>
      <c r="H21" s="12"/>
      <c r="I21" s="2">
        <f>((SQRT(H21)-1.425)/0.0037)</f>
        <v>-385.13513513513516</v>
      </c>
      <c r="J21" s="12"/>
      <c r="K21" s="2">
        <f>((SQRT(J21)-0.841)/0.0008)</f>
        <v>-1051.25</v>
      </c>
      <c r="L21" s="12"/>
      <c r="M21" s="2">
        <f>((SQRT(L21)-1.936)/0.0124)</f>
        <v>-156.1290322580645</v>
      </c>
      <c r="N21" s="12"/>
      <c r="O21" s="5">
        <f>(((300/(N21+0.24))-4.1)/0.00332)</f>
        <v>375271.0843373494</v>
      </c>
      <c r="P21" s="12"/>
      <c r="Q21" s="5" t="e">
        <f>(((800/P21)-2.325)/0.00644)</f>
        <v>#DIV/0!</v>
      </c>
    </row>
    <row r="22" spans="1:17" ht="15.75">
      <c r="A22" s="10"/>
      <c r="B22" s="8"/>
      <c r="C22" s="5"/>
      <c r="D22" s="12"/>
      <c r="E22" s="2">
        <f>((SQRT(D22)-1.15028)/0.00219)</f>
        <v>-525.2420091324201</v>
      </c>
      <c r="F22" s="12"/>
      <c r="G22" s="2">
        <f>(((75/(F22+0.24))-4.1)/0.00664)</f>
        <v>46445.783132530116</v>
      </c>
      <c r="H22" s="12"/>
      <c r="I22" s="2">
        <f>((SQRT(H22)-1.425)/0.0037)</f>
        <v>-385.13513513513516</v>
      </c>
      <c r="J22" s="12"/>
      <c r="K22" s="2">
        <f>((SQRT(J22)-0.841)/0.0008)</f>
        <v>-1051.25</v>
      </c>
      <c r="L22" s="12"/>
      <c r="M22" s="2">
        <f>((SQRT(L22)-1.936)/0.0124)</f>
        <v>-156.1290322580645</v>
      </c>
      <c r="N22" s="12"/>
      <c r="O22" s="5">
        <v>0</v>
      </c>
      <c r="P22" s="12"/>
      <c r="Q22" s="5" t="e">
        <f>(((800/P22)-2.325)/0.00644)</f>
        <v>#DIV/0!</v>
      </c>
    </row>
    <row r="23" spans="1:17" ht="15.75">
      <c r="A23" s="10" t="e">
        <f>RANK(C23,C4:C31,0)</f>
        <v>#DIV/0!</v>
      </c>
      <c r="B23" s="9"/>
      <c r="C23" s="5" t="e">
        <f>SUM(D23:Q23)</f>
        <v>#DIV/0!</v>
      </c>
      <c r="D23" s="11"/>
      <c r="E23" s="2">
        <f>SUM(E20:E22)-MIN(E20:E22)</f>
        <v>-1050.48401826484</v>
      </c>
      <c r="F23" s="11"/>
      <c r="G23" s="2">
        <f>SUM(G20:G22)-MIN(G20:G22)</f>
        <v>92891.56626506025</v>
      </c>
      <c r="H23" s="11"/>
      <c r="I23" s="2">
        <f>SUM(I20:I22)-MIN(I20:I22)</f>
        <v>-770.2702702702702</v>
      </c>
      <c r="J23" s="11"/>
      <c r="K23" s="2">
        <f>SUM(K20:K22)-MIN(K20:K22)</f>
        <v>-2102.5</v>
      </c>
      <c r="L23" s="11"/>
      <c r="M23" s="2">
        <f>SUM(M20:M22)-MIN(M20:M22)</f>
        <v>-312.258064516129</v>
      </c>
      <c r="N23" s="12"/>
      <c r="O23" s="2">
        <f>SUM(O20:O21)-MIN(O20:O21)</f>
        <v>375271.0843373494</v>
      </c>
      <c r="P23" s="12"/>
      <c r="Q23" s="2" t="e">
        <f>SUM(Q20:Q22)-MIN(Q20:Q22)</f>
        <v>#DIV/0!</v>
      </c>
    </row>
    <row r="24" spans="1:17" ht="15.75">
      <c r="A24" s="10"/>
      <c r="B24" s="8"/>
      <c r="C24" s="5"/>
      <c r="D24" s="12"/>
      <c r="E24" s="2">
        <f>((SQRT(D24)-1.15028)/0.00219)</f>
        <v>-525.2420091324201</v>
      </c>
      <c r="F24" s="12"/>
      <c r="G24" s="2">
        <f>(((75/(F24+0.24))-4.1)/0.00664)</f>
        <v>46445.783132530116</v>
      </c>
      <c r="H24" s="12"/>
      <c r="I24" s="2">
        <f>((SQRT(H24)-1.425)/0.0037)</f>
        <v>-385.13513513513516</v>
      </c>
      <c r="J24" s="12"/>
      <c r="K24" s="2">
        <f>((SQRT(J24)-0.841)/0.0008)</f>
        <v>-1051.25</v>
      </c>
      <c r="L24" s="12"/>
      <c r="M24" s="2">
        <f>((SQRT(L24)-1.936)/0.0124)</f>
        <v>-156.1290322580645</v>
      </c>
      <c r="N24" s="12"/>
      <c r="O24" s="5">
        <f>(((300/(N24+0.24))-4.1)/0.00332)</f>
        <v>375271.0843373494</v>
      </c>
      <c r="P24" s="12"/>
      <c r="Q24" s="5" t="e">
        <f>(((800/P24)-2.325)/0.00644)</f>
        <v>#DIV/0!</v>
      </c>
    </row>
    <row r="25" spans="1:17" ht="15.75">
      <c r="A25" s="10"/>
      <c r="B25" s="8"/>
      <c r="C25" s="5"/>
      <c r="D25" s="12"/>
      <c r="E25" s="2">
        <f>((SQRT(D25)-1.15028)/0.00219)</f>
        <v>-525.2420091324201</v>
      </c>
      <c r="F25" s="12"/>
      <c r="G25" s="2">
        <f>(((75/(F25+0.24))-4.1)/0.00664)</f>
        <v>46445.783132530116</v>
      </c>
      <c r="H25" s="12"/>
      <c r="I25" s="2">
        <f>((SQRT(H25)-1.425)/0.0037)</f>
        <v>-385.13513513513516</v>
      </c>
      <c r="J25" s="12"/>
      <c r="K25" s="2">
        <f>((SQRT(J25)-0.841)/0.0008)</f>
        <v>-1051.25</v>
      </c>
      <c r="L25" s="12"/>
      <c r="M25" s="2">
        <f>((SQRT(L25)-1.936)/0.0124)</f>
        <v>-156.1290322580645</v>
      </c>
      <c r="N25" s="12"/>
      <c r="O25" s="5">
        <f>(((300/(N25+0.24))-4.1)/0.00332)</f>
        <v>375271.0843373494</v>
      </c>
      <c r="P25" s="12"/>
      <c r="Q25" s="5" t="e">
        <f>(((800/P25)-2.325)/0.00644)</f>
        <v>#DIV/0!</v>
      </c>
    </row>
    <row r="26" spans="1:17" ht="15.75">
      <c r="A26" s="10"/>
      <c r="B26" s="8"/>
      <c r="C26" s="5"/>
      <c r="D26" s="12"/>
      <c r="E26" s="2">
        <f>((SQRT(D26)-1.15028)/0.00219)</f>
        <v>-525.2420091324201</v>
      </c>
      <c r="F26" s="12"/>
      <c r="G26" s="2">
        <f>(((75/(F26+0.24))-4.1)/0.00664)</f>
        <v>46445.783132530116</v>
      </c>
      <c r="H26" s="12"/>
      <c r="I26" s="2">
        <f>((SQRT(H26)-1.425)/0.0037)</f>
        <v>-385.13513513513516</v>
      </c>
      <c r="J26" s="12"/>
      <c r="K26" s="2">
        <f>((SQRT(J26)-0.841)/0.0008)</f>
        <v>-1051.25</v>
      </c>
      <c r="L26" s="12"/>
      <c r="M26" s="2">
        <f>((SQRT(L26)-1.936)/0.0124)</f>
        <v>-156.1290322580645</v>
      </c>
      <c r="N26" s="12"/>
      <c r="O26" s="5">
        <v>0</v>
      </c>
      <c r="P26" s="12"/>
      <c r="Q26" s="5" t="e">
        <f>(((800/P26)-2.325)/0.00644)</f>
        <v>#DIV/0!</v>
      </c>
    </row>
    <row r="27" spans="1:17" ht="15.75">
      <c r="A27" s="10" t="e">
        <f>RANK(C27,C4:C31,0)</f>
        <v>#DIV/0!</v>
      </c>
      <c r="B27" s="9"/>
      <c r="C27" s="5" t="e">
        <f>SUM(D27:Q27)</f>
        <v>#DIV/0!</v>
      </c>
      <c r="D27" s="11"/>
      <c r="E27" s="2">
        <f>SUM(E24:E26)-MIN(E24:E26)</f>
        <v>-1050.48401826484</v>
      </c>
      <c r="F27" s="11"/>
      <c r="G27" s="2">
        <f>SUM(G24:G26)-MIN(G24:G26)</f>
        <v>92891.56626506025</v>
      </c>
      <c r="H27" s="11"/>
      <c r="I27" s="2">
        <f>SUM(I24:I26)-MIN(I24:I26)</f>
        <v>-770.2702702702702</v>
      </c>
      <c r="J27" s="11"/>
      <c r="K27" s="2">
        <f>SUM(K24:K26)-MIN(K24:K26)</f>
        <v>-2102.5</v>
      </c>
      <c r="L27" s="11"/>
      <c r="M27" s="2">
        <f>SUM(M24:M26)-MIN(M24:M26)</f>
        <v>-312.258064516129</v>
      </c>
      <c r="N27" s="12"/>
      <c r="O27" s="2">
        <f>SUM(O24:O25)-MIN(O24:O25)</f>
        <v>375271.0843373494</v>
      </c>
      <c r="P27" s="12"/>
      <c r="Q27" s="2" t="e">
        <f>SUM(Q24:Q26)-MIN(Q24:Q26)</f>
        <v>#DIV/0!</v>
      </c>
    </row>
    <row r="28" spans="1:17" ht="15.75">
      <c r="A28" s="10"/>
      <c r="B28" s="8"/>
      <c r="C28" s="5"/>
      <c r="D28" s="12"/>
      <c r="E28" s="2">
        <f>((SQRT(D28)-1.15028)/0.00219)</f>
        <v>-525.2420091324201</v>
      </c>
      <c r="F28" s="12"/>
      <c r="G28" s="2">
        <f>(((75/(F28+0.24))-4.1)/0.00664)</f>
        <v>46445.783132530116</v>
      </c>
      <c r="H28" s="12"/>
      <c r="I28" s="2">
        <f>((SQRT(H28)-1.425)/0.0037)</f>
        <v>-385.13513513513516</v>
      </c>
      <c r="J28" s="12"/>
      <c r="K28" s="2">
        <f>((SQRT(J28)-0.841)/0.0008)</f>
        <v>-1051.25</v>
      </c>
      <c r="L28" s="12"/>
      <c r="M28" s="2">
        <f>((SQRT(L28)-1.936)/0.0124)</f>
        <v>-156.1290322580645</v>
      </c>
      <c r="N28" s="12"/>
      <c r="O28" s="5">
        <f>(((300/(N28+0.24))-4.1)/0.00332)</f>
        <v>375271.0843373494</v>
      </c>
      <c r="P28" s="12"/>
      <c r="Q28" s="5" t="e">
        <f>(((800/P28)-2.325)/0.00644)</f>
        <v>#DIV/0!</v>
      </c>
    </row>
    <row r="29" spans="1:17" ht="15.75">
      <c r="A29" s="10"/>
      <c r="B29" s="8"/>
      <c r="C29" s="5"/>
      <c r="D29" s="12"/>
      <c r="E29" s="2">
        <f>((SQRT(D29)-1.15028)/0.00219)</f>
        <v>-525.2420091324201</v>
      </c>
      <c r="F29" s="12"/>
      <c r="G29" s="2">
        <f>(((75/(F29+0.24))-4.1)/0.00664)</f>
        <v>46445.783132530116</v>
      </c>
      <c r="H29" s="12"/>
      <c r="I29" s="2">
        <f>((SQRT(H29)-1.425)/0.0037)</f>
        <v>-385.13513513513516</v>
      </c>
      <c r="J29" s="12"/>
      <c r="K29" s="2">
        <f>((SQRT(J29)-0.841)/0.0008)</f>
        <v>-1051.25</v>
      </c>
      <c r="L29" s="12"/>
      <c r="M29" s="2">
        <f>((SQRT(L29)-1.936)/0.0124)</f>
        <v>-156.1290322580645</v>
      </c>
      <c r="N29" s="12"/>
      <c r="O29" s="5">
        <f>(((300/(N29+0.24))-4.1)/0.00332)</f>
        <v>375271.0843373494</v>
      </c>
      <c r="P29" s="12"/>
      <c r="Q29" s="5" t="e">
        <f>(((800/P29)-2.325)/0.00644)</f>
        <v>#DIV/0!</v>
      </c>
    </row>
    <row r="30" spans="1:17" ht="15.75">
      <c r="A30" s="10"/>
      <c r="B30" s="8"/>
      <c r="C30" s="5"/>
      <c r="D30" s="12"/>
      <c r="E30" s="2">
        <f>((SQRT(D30)-1.15028)/0.00219)</f>
        <v>-525.2420091324201</v>
      </c>
      <c r="F30" s="12"/>
      <c r="G30" s="2">
        <f>(((75/(F30+0.24))-4.1)/0.00664)</f>
        <v>46445.783132530116</v>
      </c>
      <c r="H30" s="12"/>
      <c r="I30" s="2">
        <f>((SQRT(H30)-1.425)/0.0037)</f>
        <v>-385.13513513513516</v>
      </c>
      <c r="J30" s="12"/>
      <c r="K30" s="2">
        <f>((SQRT(J30)-0.841)/0.0008)</f>
        <v>-1051.25</v>
      </c>
      <c r="L30" s="12"/>
      <c r="M30" s="2">
        <f>((SQRT(L30)-1.936)/0.0124)</f>
        <v>-156.1290322580645</v>
      </c>
      <c r="N30" s="12"/>
      <c r="O30" s="5">
        <v>0</v>
      </c>
      <c r="P30" s="12"/>
      <c r="Q30" s="5" t="e">
        <f>(((800/P30)-2.325)/0.00644)</f>
        <v>#DIV/0!</v>
      </c>
    </row>
    <row r="31" spans="1:17" ht="15.75">
      <c r="A31" s="10" t="e">
        <f>RANK(C31,C4:C31,0)</f>
        <v>#DIV/0!</v>
      </c>
      <c r="B31" s="9"/>
      <c r="C31" s="5" t="e">
        <f>SUM(D31:Q31)</f>
        <v>#DIV/0!</v>
      </c>
      <c r="D31" s="11"/>
      <c r="E31" s="2">
        <f>SUM(E28:E30)-MIN(E28:E30)</f>
        <v>-1050.48401826484</v>
      </c>
      <c r="F31" s="11"/>
      <c r="G31" s="2">
        <f>SUM(G28:G30)-MIN(G28:G30)</f>
        <v>92891.56626506025</v>
      </c>
      <c r="H31" s="11"/>
      <c r="I31" s="2">
        <f>SUM(I28:I30)-MIN(I28:I30)</f>
        <v>-770.2702702702702</v>
      </c>
      <c r="J31" s="11"/>
      <c r="K31" s="2">
        <f>SUM(K28:K30)-MIN(K28:K30)</f>
        <v>-2102.5</v>
      </c>
      <c r="L31" s="11"/>
      <c r="M31" s="2">
        <f>SUM(M28:M30)-MIN(M28:M30)</f>
        <v>-312.258064516129</v>
      </c>
      <c r="N31" s="12"/>
      <c r="O31" s="2">
        <f>SUM(O28:O29)-MIN(O28:O29)</f>
        <v>375271.0843373494</v>
      </c>
      <c r="P31" s="12"/>
      <c r="Q31" s="2" t="e">
        <f>SUM(Q28:Q30)-MIN(Q28:Q30)</f>
        <v>#DIV/0!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5"/>
  <sheetViews>
    <sheetView zoomScalePageLayoutView="0" workbookViewId="0" topLeftCell="A1">
      <selection activeCell="P28" sqref="P28"/>
    </sheetView>
  </sheetViews>
  <sheetFormatPr defaultColWidth="11.421875" defaultRowHeight="15"/>
  <cols>
    <col min="1" max="1" width="9.140625" style="0" customWidth="1"/>
    <col min="2" max="2" width="32.57421875" style="0" bestFit="1" customWidth="1"/>
    <col min="3" max="3" width="18.7109375" style="0" bestFit="1" customWidth="1"/>
    <col min="4" max="4" width="8.140625" style="0" customWidth="1"/>
    <col min="5" max="5" width="11.28125" style="0" bestFit="1" customWidth="1"/>
    <col min="6" max="6" width="7.57421875" style="0" customWidth="1"/>
    <col min="7" max="7" width="10.7109375" style="0" bestFit="1" customWidth="1"/>
    <col min="8" max="8" width="8.00390625" style="0" customWidth="1"/>
    <col min="9" max="9" width="9.421875" style="0" bestFit="1" customWidth="1"/>
    <col min="10" max="10" width="7.7109375" style="0" customWidth="1"/>
    <col min="11" max="11" width="10.7109375" style="0" bestFit="1" customWidth="1"/>
    <col min="12" max="12" width="9.00390625" style="0" bestFit="1" customWidth="1"/>
    <col min="13" max="13" width="12.57421875" style="0" bestFit="1" customWidth="1"/>
    <col min="14" max="14" width="9.00390625" style="0" bestFit="1" customWidth="1"/>
    <col min="15" max="15" width="8.8515625" style="0" bestFit="1" customWidth="1"/>
  </cols>
  <sheetData>
    <row r="1" spans="1:15" ht="20.25">
      <c r="A1" s="16"/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11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8.34</v>
      </c>
      <c r="E4" s="2">
        <f>(((50/(D4+0.24))-3.79)/0.0069)</f>
        <v>295.2906996385258</v>
      </c>
      <c r="F4" s="12">
        <v>1.3</v>
      </c>
      <c r="G4" s="2">
        <f>((SQRT(F4)-0.841)/0.0008)</f>
        <v>373.96928137392257</v>
      </c>
      <c r="H4" s="12">
        <v>35</v>
      </c>
      <c r="I4" s="2">
        <f>((SQRT(H4)-1.936)/0.0124)</f>
        <v>320.9741760564207</v>
      </c>
      <c r="J4" s="12">
        <v>3.51</v>
      </c>
      <c r="K4" s="2">
        <f>((SQRT(J4)-1.15028)/0.00219)</f>
        <v>330.2371687303742</v>
      </c>
      <c r="L4" s="12">
        <v>29.43</v>
      </c>
      <c r="M4" s="5">
        <f>(((200/(L4+0.24))-3.79)/0.00345)</f>
        <v>855.3088807803717</v>
      </c>
      <c r="N4" s="12">
        <v>204</v>
      </c>
      <c r="O4" s="5">
        <f>(((800/N4)-2.325)/0.00644)</f>
        <v>247.9143831445621</v>
      </c>
    </row>
    <row r="5" spans="1:15" ht="15.75">
      <c r="A5" s="10"/>
      <c r="B5" s="2"/>
      <c r="C5" s="5"/>
      <c r="D5" s="12">
        <v>8.1</v>
      </c>
      <c r="E5" s="2">
        <f>(((50/(D5+0.24))-3.79)/0.0069)</f>
        <v>319.59475897542836</v>
      </c>
      <c r="F5" s="12">
        <v>1.25</v>
      </c>
      <c r="G5" s="2">
        <f>((SQRT(F5)-0.841)/0.0008)</f>
        <v>346.29248593736867</v>
      </c>
      <c r="H5" s="12">
        <v>36</v>
      </c>
      <c r="I5" s="2">
        <f>((SQRT(H5)-1.936)/0.0124)</f>
        <v>327.741935483871</v>
      </c>
      <c r="J5" s="12">
        <v>3.96</v>
      </c>
      <c r="K5" s="2">
        <f>((SQRT(J5)-1.15028)/0.00219)</f>
        <v>383.422316992347</v>
      </c>
      <c r="L5" s="12"/>
      <c r="M5" s="5">
        <v>0</v>
      </c>
      <c r="N5" s="12">
        <v>178</v>
      </c>
      <c r="O5" s="5">
        <f>(((800/N5)-2.325)/0.00644)</f>
        <v>336.8605624956382</v>
      </c>
    </row>
    <row r="6" spans="1:15" ht="15.75">
      <c r="A6" s="17"/>
      <c r="B6" s="2"/>
      <c r="C6" s="5"/>
      <c r="D6" s="12">
        <v>7.38</v>
      </c>
      <c r="E6" s="2">
        <f>(((50/(D6+0.24))-3.79)/0.0069)</f>
        <v>401.6927231922097</v>
      </c>
      <c r="F6" s="12">
        <v>1.15</v>
      </c>
      <c r="G6" s="2">
        <f>((SQRT(F6)-0.841)/0.0008)</f>
        <v>289.2256618454511</v>
      </c>
      <c r="H6" s="12">
        <v>38.5</v>
      </c>
      <c r="I6" s="2">
        <f>((SQRT(H6)-1.936)/0.0124)</f>
        <v>344.26103411253456</v>
      </c>
      <c r="J6" s="12">
        <v>4.12</v>
      </c>
      <c r="K6" s="2">
        <f>((SQRT(J6)-1.15028)/0.00219)</f>
        <v>401.5974032047689</v>
      </c>
      <c r="L6" s="12"/>
      <c r="M6" s="5">
        <v>0</v>
      </c>
      <c r="N6" s="12">
        <v>166</v>
      </c>
      <c r="O6" s="5">
        <f>(((800/N6)-2.325)/0.00644)</f>
        <v>387.31011000523836</v>
      </c>
    </row>
    <row r="7" spans="1:15" ht="15.75">
      <c r="A7" s="10">
        <f>RANK(C7,C4:C19,0)</f>
        <v>1</v>
      </c>
      <c r="B7" s="6" t="s">
        <v>44</v>
      </c>
      <c r="C7" s="5">
        <f>SUM(D7:O7)</f>
        <v>4478.051492553699</v>
      </c>
      <c r="D7" s="11"/>
      <c r="E7" s="2">
        <f>SUM(E4:E6)-MIN(E4:E6)</f>
        <v>721.2874821676381</v>
      </c>
      <c r="F7" s="11"/>
      <c r="G7" s="2">
        <f>SUM(G4:G6)-MIN(G4:G6)</f>
        <v>720.2617673112912</v>
      </c>
      <c r="H7" s="11"/>
      <c r="I7" s="2">
        <f>SUM(I4:I6)-MIN(I4:I6)</f>
        <v>672.0029695964056</v>
      </c>
      <c r="J7" s="11"/>
      <c r="K7" s="2">
        <f>SUM(K4:K6)-MIN(K4:K6)</f>
        <v>785.0197201971159</v>
      </c>
      <c r="L7" s="11"/>
      <c r="M7" s="2">
        <f>SUM(M4:M5)-MIN(M4:M5)</f>
        <v>855.3088807803717</v>
      </c>
      <c r="N7" s="12"/>
      <c r="O7" s="2">
        <f>SUM(O4:O6)-MIN(O4:O6)</f>
        <v>724.1706725008765</v>
      </c>
    </row>
    <row r="8" spans="1:15" ht="15.75">
      <c r="A8" s="10"/>
      <c r="B8" s="2"/>
      <c r="C8" s="5"/>
      <c r="D8" s="12">
        <v>8.66</v>
      </c>
      <c r="E8" s="2">
        <f>(((50/(D8+0.24))-3.79)/0.0069)</f>
        <v>264.924279433317</v>
      </c>
      <c r="F8" s="12">
        <v>1.05</v>
      </c>
      <c r="G8" s="2">
        <f>((SQRT(F8)-0.841)/0.0008)</f>
        <v>229.61884574494994</v>
      </c>
      <c r="H8" s="12">
        <v>33.5</v>
      </c>
      <c r="I8" s="2">
        <f>((SQRT(H8)-1.936)/0.0124)</f>
        <v>310.6385847899285</v>
      </c>
      <c r="J8" s="12">
        <v>1.71</v>
      </c>
      <c r="K8" s="2">
        <f>((SQRT(J8)-1.15028)/0.00219)</f>
        <v>71.86743518822016</v>
      </c>
      <c r="L8" s="12">
        <v>31.78</v>
      </c>
      <c r="M8" s="5">
        <f>(((200/(L8+0.24))-3.79)/0.00345)</f>
        <v>711.9119390960359</v>
      </c>
      <c r="N8" s="12">
        <v>191</v>
      </c>
      <c r="O8" s="5">
        <f>(((800/N8)-2.325)/0.00644)</f>
        <v>289.3605086013462</v>
      </c>
    </row>
    <row r="9" spans="1:15" ht="15.75">
      <c r="A9" s="10"/>
      <c r="B9" s="2"/>
      <c r="C9" s="5"/>
      <c r="D9" s="12">
        <v>8.3</v>
      </c>
      <c r="E9" s="2">
        <f>(((50/(D9+0.24))-3.79)/0.0069)</f>
        <v>299.2465125750941</v>
      </c>
      <c r="F9" s="12"/>
      <c r="G9" s="2">
        <v>0</v>
      </c>
      <c r="H9" s="12">
        <v>36</v>
      </c>
      <c r="I9" s="2">
        <f>((SQRT(H9)-1.936)/0.0124)</f>
        <v>327.741935483871</v>
      </c>
      <c r="J9" s="12">
        <v>3.7</v>
      </c>
      <c r="K9" s="2">
        <f>((SQRT(J9)-1.15028)/0.00219)</f>
        <v>353.08603021330345</v>
      </c>
      <c r="L9" s="12"/>
      <c r="M9" s="5">
        <v>0</v>
      </c>
      <c r="N9" s="12">
        <v>172</v>
      </c>
      <c r="O9" s="5">
        <f>(((800/N9)-2.325)/0.00644)</f>
        <v>361.2054022822476</v>
      </c>
    </row>
    <row r="10" spans="1:15" ht="15.75">
      <c r="A10" s="17"/>
      <c r="B10" s="2"/>
      <c r="C10" s="5"/>
      <c r="D10" s="12"/>
      <c r="E10" s="2">
        <v>0</v>
      </c>
      <c r="F10" s="12"/>
      <c r="G10" s="2">
        <v>0</v>
      </c>
      <c r="H10" s="12"/>
      <c r="I10" s="2">
        <v>0</v>
      </c>
      <c r="J10" s="12">
        <v>4.4</v>
      </c>
      <c r="K10" s="2">
        <f>((SQRT(J10)-1.15028)/0.00219)</f>
        <v>432.5742905663485</v>
      </c>
      <c r="L10" s="12"/>
      <c r="M10" s="5">
        <v>0</v>
      </c>
      <c r="N10" s="12">
        <v>150</v>
      </c>
      <c r="O10" s="5">
        <f>(((800/N10)-2.325)/0.00644)</f>
        <v>467.13250517598334</v>
      </c>
    </row>
    <row r="11" spans="1:15" ht="15.75">
      <c r="A11" s="10">
        <f>RANK(C11,C4:C19,0)</f>
        <v>4</v>
      </c>
      <c r="B11" s="6" t="s">
        <v>43</v>
      </c>
      <c r="C11" s="5">
        <f>SUM(D11:O11)</f>
        <v>3758.0803253610793</v>
      </c>
      <c r="D11" s="11"/>
      <c r="E11" s="2">
        <f>SUM(E8:E10)-MIN(E8:E10)</f>
        <v>564.1707920084111</v>
      </c>
      <c r="F11" s="11"/>
      <c r="G11" s="2">
        <f>SUM(G8:G10)-MIN(G8:G10)</f>
        <v>229.61884574494994</v>
      </c>
      <c r="H11" s="11"/>
      <c r="I11" s="2">
        <f>SUM(I8:I10)-MIN(I8:I10)</f>
        <v>638.3805202737994</v>
      </c>
      <c r="J11" s="11"/>
      <c r="K11" s="2">
        <f>SUM(K8:K10)-MIN(K8:K10)</f>
        <v>785.6603207796519</v>
      </c>
      <c r="L11" s="11"/>
      <c r="M11" s="2">
        <f>SUM(M8:M9)-MIN(M8:M9)</f>
        <v>711.9119390960359</v>
      </c>
      <c r="N11" s="12"/>
      <c r="O11" s="2">
        <f>SUM(O8:O10)-MIN(O8:O10)</f>
        <v>828.3379074582308</v>
      </c>
    </row>
    <row r="12" spans="1:15" ht="15.75">
      <c r="A12" s="10"/>
      <c r="B12" s="2"/>
      <c r="C12" s="5"/>
      <c r="D12" s="12">
        <v>8.4</v>
      </c>
      <c r="E12" s="2">
        <f>(((50/(D12+0.24))-3.79)/0.0069)</f>
        <v>289.4256575415995</v>
      </c>
      <c r="F12" s="12">
        <v>1.3</v>
      </c>
      <c r="G12" s="2">
        <f>((SQRT(F12)-0.841)/0.0008)</f>
        <v>373.96928137392257</v>
      </c>
      <c r="H12" s="12">
        <v>36.5</v>
      </c>
      <c r="I12" s="2">
        <f>((SQRT(H12)-1.936)/0.0124)</f>
        <v>331.0905634513941</v>
      </c>
      <c r="J12" s="12">
        <v>3.8</v>
      </c>
      <c r="K12" s="2">
        <f>((SQRT(J12)-1.15028)/0.00219)</f>
        <v>364.8761958729647</v>
      </c>
      <c r="L12" s="12">
        <v>31.63</v>
      </c>
      <c r="M12" s="5">
        <f>(((200/(L12+0.24))-3.79)/0.00345)</f>
        <v>720.4331000486578</v>
      </c>
      <c r="N12" s="12">
        <v>188</v>
      </c>
      <c r="O12" s="5">
        <f>(((800/N12)-2.325)/0.00644)</f>
        <v>299.73899828201394</v>
      </c>
    </row>
    <row r="13" spans="1:15" ht="15.75">
      <c r="A13" s="10"/>
      <c r="B13" s="2"/>
      <c r="C13" s="5"/>
      <c r="D13" s="12">
        <v>8.22</v>
      </c>
      <c r="E13" s="2">
        <f>(((50/(D13+0.24))-3.79)/0.0069)</f>
        <v>307.2703600918216</v>
      </c>
      <c r="F13" s="12">
        <v>1.2</v>
      </c>
      <c r="G13" s="2">
        <f>((SQRT(F13)-0.841)/0.0008)</f>
        <v>318.0563937629152</v>
      </c>
      <c r="H13" s="12">
        <v>31</v>
      </c>
      <c r="I13" s="2">
        <f>((SQRT(H13)-1.936)/0.0124)</f>
        <v>292.8842228088727</v>
      </c>
      <c r="J13" s="12">
        <v>3.75</v>
      </c>
      <c r="K13" s="2">
        <f>((SQRT(J13)-1.15028)/0.00219)</f>
        <v>359.0007639742961</v>
      </c>
      <c r="L13" s="12">
        <v>32.92</v>
      </c>
      <c r="M13" s="5">
        <f>(((200/(L13+0.24))-3.79)/0.00345)</f>
        <v>649.6704603066378</v>
      </c>
      <c r="N13" s="12">
        <v>175</v>
      </c>
      <c r="O13" s="5">
        <f>(((800/N13)-2.325)/0.00644)</f>
        <v>348.824312333629</v>
      </c>
    </row>
    <row r="14" spans="1:15" ht="15.75">
      <c r="A14" s="17"/>
      <c r="B14" s="2"/>
      <c r="C14" s="5"/>
      <c r="D14" s="12">
        <v>8.1</v>
      </c>
      <c r="E14" s="2">
        <f>(((50/(D14+0.24))-3.79)/0.0069)</f>
        <v>319.59475897542836</v>
      </c>
      <c r="F14" s="12">
        <v>1.2</v>
      </c>
      <c r="G14" s="2">
        <f>((SQRT(F14)-0.841)/0.0008)</f>
        <v>318.0563937629152</v>
      </c>
      <c r="H14" s="12">
        <v>40</v>
      </c>
      <c r="I14" s="2">
        <f>((SQRT(H14)-1.936)/0.0124)</f>
        <v>353.9157516400612</v>
      </c>
      <c r="J14" s="12">
        <v>3.5</v>
      </c>
      <c r="K14" s="2">
        <f>((SQRT(J14)-1.15028)/0.00219)</f>
        <v>329.0176682132286</v>
      </c>
      <c r="L14" s="12"/>
      <c r="M14" s="5">
        <v>0</v>
      </c>
      <c r="N14" s="12">
        <v>168</v>
      </c>
      <c r="O14" s="5">
        <f>(((800/N14)-2.325)/0.00644)</f>
        <v>378.40136054421765</v>
      </c>
    </row>
    <row r="15" spans="1:15" ht="15.75">
      <c r="A15" s="10">
        <f>RANK(C15,C4:C19,0)</f>
        <v>2</v>
      </c>
      <c r="B15" s="6" t="s">
        <v>40</v>
      </c>
      <c r="C15" s="5">
        <f>SUM(D15:O15)</f>
        <v>4175.432842069308</v>
      </c>
      <c r="D15" s="11"/>
      <c r="E15" s="2">
        <f>SUM(E12:E14)-MIN(E12:E14)</f>
        <v>626.8651190672499</v>
      </c>
      <c r="F15" s="11"/>
      <c r="G15" s="2">
        <f>SUM(G12:G14)-MIN(G12:G14)</f>
        <v>692.0256751368379</v>
      </c>
      <c r="H15" s="11"/>
      <c r="I15" s="2">
        <f>SUM(I12:I14)-MIN(I12:I14)</f>
        <v>685.0063150914552</v>
      </c>
      <c r="J15" s="11"/>
      <c r="K15" s="2">
        <f>SUM(K12:K14)-MIN(K12:K14)</f>
        <v>723.8769598472608</v>
      </c>
      <c r="L15" s="11"/>
      <c r="M15" s="2">
        <f>SUM(M12:M13)-MIN(M12:M13)</f>
        <v>720.4331000486577</v>
      </c>
      <c r="N15" s="12"/>
      <c r="O15" s="2">
        <f>SUM(O12:O14)-MIN(O12:O14)</f>
        <v>727.2256728778466</v>
      </c>
    </row>
    <row r="16" spans="1:15" ht="15.75">
      <c r="A16" s="10"/>
      <c r="B16" s="2"/>
      <c r="C16" s="5"/>
      <c r="D16" s="12">
        <v>8.36</v>
      </c>
      <c r="E16" s="2">
        <f>(((50/(D16+0.24))-3.79)/0.0069)</f>
        <v>293.32659251769473</v>
      </c>
      <c r="F16" s="12">
        <v>1.25</v>
      </c>
      <c r="G16" s="2">
        <f>((SQRT(F16)-0.841)/0.0008)</f>
        <v>346.29248593736867</v>
      </c>
      <c r="H16" s="12">
        <v>36.5</v>
      </c>
      <c r="I16" s="2">
        <f>((SQRT(H16)-1.936)/0.0124)</f>
        <v>331.0905634513941</v>
      </c>
      <c r="J16" s="12">
        <v>3.5</v>
      </c>
      <c r="K16" s="2">
        <f>((SQRT(J16)-1.15028)/0.00219)</f>
        <v>329.0176682132286</v>
      </c>
      <c r="L16" s="12">
        <v>37.53</v>
      </c>
      <c r="M16" s="5">
        <f>(((200/(L16+0.24))-3.79)/0.00345)</f>
        <v>436.29212663988346</v>
      </c>
      <c r="N16" s="12">
        <v>205</v>
      </c>
      <c r="O16" s="5">
        <f>(((800/N16)-2.325)/0.00644)</f>
        <v>244.9439478866838</v>
      </c>
    </row>
    <row r="17" spans="1:15" ht="15.75">
      <c r="A17" s="10"/>
      <c r="B17" s="2"/>
      <c r="C17" s="5"/>
      <c r="D17" s="12">
        <v>8.27</v>
      </c>
      <c r="E17" s="2">
        <f>(((50/(D17+0.24))-3.79)/0.0069)</f>
        <v>302.23777652889186</v>
      </c>
      <c r="F17" s="12">
        <v>1.2</v>
      </c>
      <c r="G17" s="2">
        <f>((SQRT(F17)-0.841)/0.0008)</f>
        <v>318.0563937629152</v>
      </c>
      <c r="H17" s="12">
        <v>27</v>
      </c>
      <c r="I17" s="2">
        <f>((SQRT(H17)-1.936)/0.0124)</f>
        <v>262.9155179602123</v>
      </c>
      <c r="J17" s="12">
        <v>3.55</v>
      </c>
      <c r="K17" s="2">
        <f>((SQRT(J17)-1.15028)/0.00219)</f>
        <v>335.09788499619964</v>
      </c>
      <c r="L17" s="12">
        <v>32.58</v>
      </c>
      <c r="M17" s="5">
        <f>(((200/(L17+0.24))-3.79)/0.00345)</f>
        <v>667.7812221250741</v>
      </c>
      <c r="N17" s="12">
        <v>200</v>
      </c>
      <c r="O17" s="5">
        <f>(((800/N17)-2.325)/0.00644)</f>
        <v>260.0931677018633</v>
      </c>
    </row>
    <row r="18" spans="1:15" ht="15.75">
      <c r="A18" s="17"/>
      <c r="B18" s="2"/>
      <c r="C18" s="5"/>
      <c r="D18" s="12">
        <v>7.89</v>
      </c>
      <c r="E18" s="2">
        <f>(((50/(D18+0.24))-3.79)/0.0069)</f>
        <v>342.0378986398561</v>
      </c>
      <c r="F18" s="12"/>
      <c r="G18" s="2">
        <v>0</v>
      </c>
      <c r="H18" s="12">
        <v>38.5</v>
      </c>
      <c r="I18" s="2">
        <f>((SQRT(H18)-1.936)/0.0124)</f>
        <v>344.26103411253456</v>
      </c>
      <c r="J18" s="12">
        <v>3.61</v>
      </c>
      <c r="K18" s="2">
        <f>((SQRT(J18)-1.15028)/0.00219)</f>
        <v>342.33789954337897</v>
      </c>
      <c r="L18" s="12"/>
      <c r="M18" s="5">
        <v>0</v>
      </c>
      <c r="N18" s="12">
        <v>233</v>
      </c>
      <c r="O18" s="5">
        <f>(((800/N18)-2.325)/0.00644)</f>
        <v>172.12366379655052</v>
      </c>
    </row>
    <row r="19" spans="1:15" ht="15.75">
      <c r="A19" s="10">
        <f>RANK(C19,C4:C19,0)</f>
        <v>3</v>
      </c>
      <c r="B19" s="6" t="s">
        <v>49</v>
      </c>
      <c r="C19" s="5">
        <f>SUM(D19:O19)</f>
        <v>3834.2302746861606</v>
      </c>
      <c r="D19" s="11"/>
      <c r="E19" s="2">
        <f>SUM(E16:E18)-MIN(E16:E18)</f>
        <v>644.275675168748</v>
      </c>
      <c r="F19" s="11"/>
      <c r="G19" s="2">
        <f>SUM(G16:G18)-MIN(G16:G18)</f>
        <v>664.3488797002839</v>
      </c>
      <c r="H19" s="11"/>
      <c r="I19" s="2">
        <f>SUM(I16:I18)-MIN(I16:I18)</f>
        <v>675.3515975639286</v>
      </c>
      <c r="J19" s="11"/>
      <c r="K19" s="2">
        <f>SUM(K16:K18)-MIN(K16:K18)</f>
        <v>677.4357845395787</v>
      </c>
      <c r="L19" s="11"/>
      <c r="M19" s="2">
        <f>SUM(M16:M17)-MIN(M16:M17)</f>
        <v>667.7812221250742</v>
      </c>
      <c r="N19" s="12"/>
      <c r="O19" s="2">
        <f>SUM(O16:O18)-MIN(O16:O18)</f>
        <v>505.03711558854707</v>
      </c>
    </row>
    <row r="20" spans="1:15" ht="15.75">
      <c r="A20" s="10"/>
      <c r="B20" s="2"/>
      <c r="C20" s="5"/>
      <c r="D20" s="12">
        <v>8.2</v>
      </c>
      <c r="E20" s="2">
        <f>(((50/(D20+0.24))-3.79)/0.0069)</f>
        <v>309.300089291847</v>
      </c>
      <c r="F20" s="12">
        <v>1.2</v>
      </c>
      <c r="G20" s="2">
        <f>((SQRT(F20)-0.841)/0.0008)</f>
        <v>318.0563937629152</v>
      </c>
      <c r="H20" s="12">
        <v>41.5</v>
      </c>
      <c r="I20" s="2">
        <f>((SQRT(H20)-1.936)/0.0124)</f>
        <v>363.3910776905293</v>
      </c>
      <c r="J20" s="12">
        <v>3.36</v>
      </c>
      <c r="K20" s="2">
        <f>((SQRT(J20)-1.15028)/0.00219)</f>
        <v>311.7581178001534</v>
      </c>
      <c r="L20" s="12">
        <v>31.3</v>
      </c>
      <c r="M20" s="5">
        <f>(((200/(L20+0.24))-3.79)/0.00345)</f>
        <v>739.4649536360546</v>
      </c>
      <c r="N20" s="12">
        <v>190</v>
      </c>
      <c r="O20" s="5">
        <f>(((800/N20)-2.325)/0.00644)</f>
        <v>292.78358940830327</v>
      </c>
    </row>
    <row r="21" spans="1:15" ht="15.75">
      <c r="A21" s="10"/>
      <c r="B21" s="2"/>
      <c r="C21" s="5"/>
      <c r="D21" s="12">
        <v>7.94</v>
      </c>
      <c r="E21" s="2">
        <f>(((50/(D21+0.24))-3.79)/0.0069)</f>
        <v>336.58977357287125</v>
      </c>
      <c r="F21" s="12">
        <v>1.15</v>
      </c>
      <c r="G21" s="2">
        <f>((SQRT(F21)-0.841)/0.0008)</f>
        <v>289.2256618454511</v>
      </c>
      <c r="H21" s="12">
        <v>35.5</v>
      </c>
      <c r="I21" s="2">
        <f>((SQRT(H21)-1.936)/0.0124)</f>
        <v>324.36997128278165</v>
      </c>
      <c r="J21" s="12">
        <v>3.2</v>
      </c>
      <c r="K21" s="2">
        <f>((SQRT(J21)-1.15028)/0.00219)</f>
        <v>291.5864757990099</v>
      </c>
      <c r="L21" s="12">
        <v>31.31</v>
      </c>
      <c r="M21" s="5">
        <f>(((200/(L21+0.24))-3.79)/0.00345)</f>
        <v>738.8823813133054</v>
      </c>
      <c r="N21" s="12">
        <v>184</v>
      </c>
      <c r="O21" s="5">
        <f>(((800/N21)-2.325)/0.00644)</f>
        <v>314.10342965163375</v>
      </c>
    </row>
    <row r="22" spans="1:15" ht="15.75">
      <c r="A22" s="17"/>
      <c r="B22" s="2"/>
      <c r="C22" s="5"/>
      <c r="D22" s="12">
        <v>7.87</v>
      </c>
      <c r="E22" s="2">
        <f>(((50/(D22+0.24))-3.79)/0.0069)</f>
        <v>344.23595846959387</v>
      </c>
      <c r="F22" s="12">
        <v>1.05</v>
      </c>
      <c r="G22" s="2">
        <f>((SQRT(F22)-0.841)/0.0008)</f>
        <v>229.61884574494994</v>
      </c>
      <c r="H22" s="12">
        <v>33</v>
      </c>
      <c r="I22" s="2">
        <f>((SQRT(H22)-1.936)/0.0124)</f>
        <v>307.14214891435716</v>
      </c>
      <c r="J22" s="12">
        <v>3.71</v>
      </c>
      <c r="K22" s="2">
        <f>((SQRT(J22)-1.15028)/0.00219)</f>
        <v>354.27215909854897</v>
      </c>
      <c r="L22" s="12"/>
      <c r="M22" s="5">
        <v>0</v>
      </c>
      <c r="N22" s="12">
        <v>170</v>
      </c>
      <c r="O22" s="5">
        <f>(((800/N22)-2.325)/0.00644)</f>
        <v>369.702228717574</v>
      </c>
    </row>
    <row r="23" spans="1:15" ht="15.75">
      <c r="A23" s="10">
        <f>RANK(C23,C8:C23,0)</f>
        <v>2</v>
      </c>
      <c r="B23" s="6" t="s">
        <v>48</v>
      </c>
      <c r="C23" s="5">
        <f>SUM(D23:O23)</f>
        <v>4065.169725528107</v>
      </c>
      <c r="D23" s="11"/>
      <c r="E23" s="2">
        <f>SUM(E20:E22)-MIN(E20:E22)</f>
        <v>680.8257320424652</v>
      </c>
      <c r="F23" s="11"/>
      <c r="G23" s="2">
        <f>SUM(G20:G22)-MIN(G20:G22)</f>
        <v>607.2820556083664</v>
      </c>
      <c r="H23" s="11"/>
      <c r="I23" s="2">
        <f>SUM(I20:I22)-MIN(I20:I22)</f>
        <v>687.7610489733108</v>
      </c>
      <c r="J23" s="11"/>
      <c r="K23" s="2">
        <f>SUM(K20:K22)-MIN(K20:K22)</f>
        <v>666.0302768987024</v>
      </c>
      <c r="L23" s="11"/>
      <c r="M23" s="2">
        <f>SUM(M20:M21)-MIN(M20:M21)</f>
        <v>739.4649536360546</v>
      </c>
      <c r="N23" s="12"/>
      <c r="O23" s="2">
        <f>SUM(O20:O22)-MIN(O20:O22)</f>
        <v>683.8056583692078</v>
      </c>
    </row>
    <row r="24" spans="1:15" ht="15.75">
      <c r="A24" s="10"/>
      <c r="B24" s="2"/>
      <c r="C24" s="5"/>
      <c r="D24" s="12">
        <v>9.04</v>
      </c>
      <c r="E24" s="2">
        <f>(((50/(D24+0.24))-3.79)/0.0069)</f>
        <v>231.58420789605202</v>
      </c>
      <c r="F24" s="12">
        <v>1.1</v>
      </c>
      <c r="G24" s="2">
        <f>((SQRT(F24)-0.841)/0.0008)</f>
        <v>259.7610602126896</v>
      </c>
      <c r="H24" s="12">
        <v>31.5</v>
      </c>
      <c r="I24" s="2">
        <f>((SQRT(H24)-1.936)/0.0124)</f>
        <v>296.49081291620263</v>
      </c>
      <c r="J24" s="12">
        <v>3.96</v>
      </c>
      <c r="K24" s="2">
        <f>((SQRT(J24)-1.15028)/0.00219)</f>
        <v>383.422316992347</v>
      </c>
      <c r="L24" s="12">
        <v>31.72</v>
      </c>
      <c r="M24" s="5">
        <f>(((200/(L24+0.24))-3.79)/0.00345)</f>
        <v>715.3108051731332</v>
      </c>
      <c r="N24" s="12">
        <v>193</v>
      </c>
      <c r="O24" s="5">
        <f>(((800/N24)-2.325)/0.00644)</f>
        <v>282.62076400733747</v>
      </c>
    </row>
    <row r="25" spans="1:15" ht="15.75">
      <c r="A25" s="10"/>
      <c r="B25" s="2"/>
      <c r="C25" s="5"/>
      <c r="D25" s="12">
        <v>8.6</v>
      </c>
      <c r="E25" s="2">
        <f>(((50/(D25+0.24))-3.79)/0.0069)</f>
        <v>270.4505213456621</v>
      </c>
      <c r="F25" s="12">
        <v>1.1</v>
      </c>
      <c r="G25" s="2">
        <f>((SQRT(F25)-0.841)/0.0008)</f>
        <v>259.7610602126896</v>
      </c>
      <c r="H25" s="12">
        <v>34</v>
      </c>
      <c r="I25" s="2">
        <f>((SQRT(H25)-1.936)/0.0124)</f>
        <v>314.10902377784686</v>
      </c>
      <c r="J25" s="12">
        <v>3.79</v>
      </c>
      <c r="K25" s="2">
        <f>((SQRT(J25)-1.15028)/0.00219)</f>
        <v>363.7042161612687</v>
      </c>
      <c r="L25" s="12">
        <v>32.68</v>
      </c>
      <c r="M25" s="5">
        <f>(((200/(L25+0.24))-3.79)/0.00345)</f>
        <v>662.4156937327203</v>
      </c>
      <c r="N25" s="12">
        <v>189</v>
      </c>
      <c r="O25" s="5">
        <f>(((800/N25)-2.325)/0.00644)</f>
        <v>296.24289329258266</v>
      </c>
    </row>
    <row r="26" spans="1:15" ht="15.75">
      <c r="A26" s="17"/>
      <c r="B26" s="2"/>
      <c r="C26" s="5"/>
      <c r="D26" s="12">
        <v>8.19</v>
      </c>
      <c r="E26" s="2">
        <f>(((50/(D26+0.24))-3.79)/0.0069)</f>
        <v>310.3185655096533</v>
      </c>
      <c r="F26" s="12">
        <v>1.05</v>
      </c>
      <c r="G26" s="2">
        <f>((SQRT(F26)-0.841)/0.0008)</f>
        <v>229.61884574494994</v>
      </c>
      <c r="H26" s="12">
        <v>34</v>
      </c>
      <c r="I26" s="2">
        <f>((SQRT(H26)-1.936)/0.0124)</f>
        <v>314.10902377784686</v>
      </c>
      <c r="J26" s="12">
        <v>3.5</v>
      </c>
      <c r="K26" s="2">
        <f>((SQRT(J26)-1.15028)/0.00219)</f>
        <v>329.0176682132286</v>
      </c>
      <c r="L26" s="12"/>
      <c r="M26" s="5">
        <v>0</v>
      </c>
      <c r="N26" s="12">
        <v>173</v>
      </c>
      <c r="O26" s="5">
        <f>(((800/N26)-2.325)/0.00644)</f>
        <v>357.030660970093</v>
      </c>
    </row>
    <row r="27" spans="1:15" ht="15.75">
      <c r="A27" s="10">
        <f>RANK(C27,C12:C27,0)</f>
        <v>3</v>
      </c>
      <c r="B27" s="6" t="s">
        <v>38</v>
      </c>
      <c r="C27" s="5">
        <f>SUM(D27:O27)</f>
        <v>3844.2201474258127</v>
      </c>
      <c r="D27" s="11"/>
      <c r="E27" s="2">
        <f>SUM(E24:E26)-MIN(E24:E26)</f>
        <v>580.7690868553154</v>
      </c>
      <c r="F27" s="11"/>
      <c r="G27" s="2">
        <f>SUM(G24:G26)-MIN(G24:G26)</f>
        <v>519.5221204253792</v>
      </c>
      <c r="H27" s="11"/>
      <c r="I27" s="2">
        <f>SUM(I24:I26)-MIN(I24:I26)</f>
        <v>628.2180475556936</v>
      </c>
      <c r="J27" s="11"/>
      <c r="K27" s="2">
        <f>SUM(K24:K26)-MIN(K24:K26)</f>
        <v>747.1265331536157</v>
      </c>
      <c r="L27" s="11"/>
      <c r="M27" s="2">
        <f>SUM(M24:M25)-MIN(M24:M25)</f>
        <v>715.3108051731332</v>
      </c>
      <c r="N27" s="12"/>
      <c r="O27" s="2">
        <f>SUM(O24:O26)-MIN(O24:O26)</f>
        <v>653.2735542626756</v>
      </c>
    </row>
    <row r="28" spans="1:15" ht="15.75">
      <c r="A28" s="10"/>
      <c r="B28" s="2"/>
      <c r="C28" s="5"/>
      <c r="D28" s="12">
        <v>8.12</v>
      </c>
      <c r="E28" s="2">
        <f>(((50/(D28+0.24))-3.79)/0.0069)</f>
        <v>317.5161223216144</v>
      </c>
      <c r="F28" s="12">
        <v>1.15</v>
      </c>
      <c r="G28" s="2">
        <f>((SQRT(F28)-0.841)/0.0008)</f>
        <v>289.2256618454511</v>
      </c>
      <c r="H28" s="12">
        <v>37</v>
      </c>
      <c r="I28" s="2">
        <f>((SQRT(H28)-1.936)/0.0124)</f>
        <v>334.4163330885661</v>
      </c>
      <c r="J28" s="12">
        <v>3.76</v>
      </c>
      <c r="K28" s="2">
        <f>((SQRT(J28)-1.15028)/0.00219)</f>
        <v>360.1789693911103</v>
      </c>
      <c r="L28" s="12">
        <v>30.88</v>
      </c>
      <c r="M28" s="5">
        <f>(((200/(L28+0.24))-3.79)/0.00345)</f>
        <v>764.2710778286952</v>
      </c>
      <c r="N28" s="12">
        <v>183</v>
      </c>
      <c r="O28" s="5">
        <f>(((800/N28)-2.325)/0.00644)</f>
        <v>317.79265519465093</v>
      </c>
    </row>
    <row r="29" spans="1:15" ht="15.75">
      <c r="A29" s="10"/>
      <c r="B29" s="2"/>
      <c r="C29" s="5"/>
      <c r="D29" s="12">
        <v>7.72</v>
      </c>
      <c r="E29" s="2">
        <f>(((50/(D29+0.24))-3.79)/0.0069)</f>
        <v>361.0734833588231</v>
      </c>
      <c r="F29" s="12">
        <v>1.15</v>
      </c>
      <c r="G29" s="2">
        <f>((SQRT(F29)-0.841)/0.0008)</f>
        <v>289.2256618454511</v>
      </c>
      <c r="H29" s="12">
        <v>50.5</v>
      </c>
      <c r="I29" s="2">
        <f>((SQRT(H29)-1.936)/0.0124)</f>
        <v>416.9625162722539</v>
      </c>
      <c r="J29" s="12">
        <v>4.07</v>
      </c>
      <c r="K29" s="2">
        <f>((SQRT(J29)-1.15028)/0.00219)</f>
        <v>395.9562101293157</v>
      </c>
      <c r="L29" s="12"/>
      <c r="M29" s="5">
        <v>0</v>
      </c>
      <c r="N29" s="12">
        <v>159</v>
      </c>
      <c r="O29" s="5">
        <f>(((800/N29)-2.325)/0.00644)</f>
        <v>420.2556740497675</v>
      </c>
    </row>
    <row r="30" spans="1:15" ht="15.75">
      <c r="A30" s="17"/>
      <c r="B30" s="2"/>
      <c r="C30" s="5"/>
      <c r="D30" s="12">
        <v>7.54</v>
      </c>
      <c r="E30" s="2">
        <f>(((50/(D30+0.24))-3.79)/0.0069)</f>
        <v>382.1355389143475</v>
      </c>
      <c r="F30" s="12">
        <v>1.1</v>
      </c>
      <c r="G30" s="2">
        <f>((SQRT(F30)-0.841)/0.0008)</f>
        <v>259.7610602126896</v>
      </c>
      <c r="H30" s="12"/>
      <c r="I30" s="2">
        <v>0</v>
      </c>
      <c r="J30" s="12"/>
      <c r="K30" s="2">
        <v>0</v>
      </c>
      <c r="L30" s="12"/>
      <c r="M30" s="5">
        <v>0</v>
      </c>
      <c r="N30" s="12"/>
      <c r="O30" s="5">
        <v>0</v>
      </c>
    </row>
    <row r="31" spans="1:15" ht="15.75">
      <c r="A31" s="10">
        <f>RANK(C31,C16:C31,0)</f>
        <v>1</v>
      </c>
      <c r="B31" s="6" t="s">
        <v>46</v>
      </c>
      <c r="C31" s="5">
        <f>SUM(D31:O31)</f>
        <v>4331.493781918432</v>
      </c>
      <c r="D31" s="11"/>
      <c r="E31" s="2">
        <f>SUM(E28:E30)-MIN(E28:E30)</f>
        <v>743.2090222731706</v>
      </c>
      <c r="F31" s="11"/>
      <c r="G31" s="2">
        <f>SUM(G28:G30)-MIN(G28:G30)</f>
        <v>578.4513236909022</v>
      </c>
      <c r="H31" s="11"/>
      <c r="I31" s="2">
        <f>SUM(I28:I30)-MIN(I28:I30)</f>
        <v>751.3788493608199</v>
      </c>
      <c r="J31" s="11"/>
      <c r="K31" s="2">
        <f>SUM(K28:K30)-MIN(K28:K30)</f>
        <v>756.1351795204259</v>
      </c>
      <c r="L31" s="11"/>
      <c r="M31" s="2">
        <f>SUM(M28:M29)-MIN(M28:M29)</f>
        <v>764.2710778286952</v>
      </c>
      <c r="N31" s="12"/>
      <c r="O31" s="2">
        <f>SUM(O28:O30)-MIN(O28:O30)</f>
        <v>738.0483292444185</v>
      </c>
    </row>
    <row r="32" spans="1:15" ht="15.75">
      <c r="A32" s="10"/>
      <c r="B32" s="2"/>
      <c r="C32" s="5"/>
      <c r="D32" s="12"/>
      <c r="E32" s="2">
        <f>(((50/(D32+0.24))-3.79)/0.0069)</f>
        <v>29643.961352657007</v>
      </c>
      <c r="F32" s="12"/>
      <c r="G32" s="2">
        <f>((SQRT(F32)-0.841)/0.0008)</f>
        <v>-1051.25</v>
      </c>
      <c r="H32" s="12"/>
      <c r="I32" s="2">
        <f>((SQRT(H32)-1.936)/0.0124)</f>
        <v>-156.1290322580645</v>
      </c>
      <c r="J32" s="12"/>
      <c r="K32" s="2">
        <f>((SQRT(J32)-1.15028)/0.00219)</f>
        <v>-525.2420091324201</v>
      </c>
      <c r="L32" s="12"/>
      <c r="M32" s="5">
        <f>(((200/(L32+0.24))-3.79)/0.00345)</f>
        <v>240447.3429951691</v>
      </c>
      <c r="N32" s="12"/>
      <c r="O32" s="5" t="e">
        <f>(((800/N32)-2.325)/0.00644)</f>
        <v>#DIV/0!</v>
      </c>
    </row>
    <row r="33" spans="1:15" ht="15.75">
      <c r="A33" s="10"/>
      <c r="B33" s="2"/>
      <c r="C33" s="5"/>
      <c r="D33" s="12"/>
      <c r="E33" s="2">
        <f>(((50/(D33+0.24))-3.79)/0.0069)</f>
        <v>29643.961352657007</v>
      </c>
      <c r="F33" s="12"/>
      <c r="G33" s="2">
        <f>((SQRT(F33)-0.841)/0.0008)</f>
        <v>-1051.25</v>
      </c>
      <c r="H33" s="12"/>
      <c r="I33" s="2">
        <f>((SQRT(H33)-1.936)/0.0124)</f>
        <v>-156.1290322580645</v>
      </c>
      <c r="J33" s="12"/>
      <c r="K33" s="2">
        <f>((SQRT(J33)-1.15028)/0.00219)</f>
        <v>-525.2420091324201</v>
      </c>
      <c r="L33" s="12"/>
      <c r="M33" s="5">
        <f>(((200/(L33+0.24))-3.79)/0.00345)</f>
        <v>240447.3429951691</v>
      </c>
      <c r="N33" s="12"/>
      <c r="O33" s="5" t="e">
        <f>(((800/N33)-2.325)/0.00644)</f>
        <v>#DIV/0!</v>
      </c>
    </row>
    <row r="34" spans="1:15" ht="15.75">
      <c r="A34" s="17"/>
      <c r="B34" s="2"/>
      <c r="C34" s="5"/>
      <c r="D34" s="12"/>
      <c r="E34" s="2">
        <f>(((50/(D34+0.24))-3.79)/0.0069)</f>
        <v>29643.961352657007</v>
      </c>
      <c r="F34" s="12"/>
      <c r="G34" s="2">
        <f>((SQRT(F34)-0.841)/0.0008)</f>
        <v>-1051.25</v>
      </c>
      <c r="H34" s="12"/>
      <c r="I34" s="2">
        <f>((SQRT(H34)-1.936)/0.0124)</f>
        <v>-156.1290322580645</v>
      </c>
      <c r="J34" s="12"/>
      <c r="K34" s="2">
        <f>((SQRT(J34)-1.15028)/0.00219)</f>
        <v>-525.2420091324201</v>
      </c>
      <c r="L34" s="12"/>
      <c r="M34" s="5">
        <v>0</v>
      </c>
      <c r="N34" s="12"/>
      <c r="O34" s="5" t="e">
        <f>(((800/N34)-2.325)/0.00644)</f>
        <v>#DIV/0!</v>
      </c>
    </row>
    <row r="35" spans="1:15" ht="15.75">
      <c r="A35" s="10" t="e">
        <f>RANK(C35,C20:C35,0)</f>
        <v>#DIV/0!</v>
      </c>
      <c r="B35" s="6"/>
      <c r="C35" s="5" t="e">
        <f>SUM(D35:O35)</f>
        <v>#DIV/0!</v>
      </c>
      <c r="D35" s="11"/>
      <c r="E35" s="2">
        <f>SUM(E32:E34)-MIN(E32:E34)</f>
        <v>59287.92270531402</v>
      </c>
      <c r="F35" s="11"/>
      <c r="G35" s="2">
        <f>SUM(G32:G34)-MIN(G32:G34)</f>
        <v>-2102.5</v>
      </c>
      <c r="H35" s="11"/>
      <c r="I35" s="2">
        <f>SUM(I32:I34)-MIN(I32:I34)</f>
        <v>-312.258064516129</v>
      </c>
      <c r="J35" s="11"/>
      <c r="K35" s="2">
        <f>SUM(K32:K34)-MIN(K32:K34)</f>
        <v>-1050.48401826484</v>
      </c>
      <c r="L35" s="11"/>
      <c r="M35" s="2">
        <f>SUM(M32:M33)-MIN(M32:M33)</f>
        <v>240447.3429951691</v>
      </c>
      <c r="N35" s="12"/>
      <c r="O35" s="2" t="e">
        <f>SUM(O32:O34)-MIN(O32:O34)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"/>
  <sheetViews>
    <sheetView zoomScale="115" zoomScaleNormal="115" zoomScalePageLayoutView="0" workbookViewId="0" topLeftCell="C1">
      <selection activeCell="P17" sqref="P17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9.57421875" style="0" bestFit="1" customWidth="1"/>
    <col min="6" max="6" width="7.7109375" style="0" bestFit="1" customWidth="1"/>
    <col min="7" max="7" width="9.57421875" style="0" bestFit="1" customWidth="1"/>
    <col min="8" max="8" width="8.140625" style="0" customWidth="1"/>
    <col min="9" max="9" width="9.57421875" style="0" bestFit="1" customWidth="1"/>
    <col min="10" max="10" width="7.7109375" style="0" customWidth="1"/>
    <col min="11" max="11" width="8.28125" style="0" customWidth="1"/>
    <col min="12" max="12" width="7.140625" style="0" bestFit="1" customWidth="1"/>
    <col min="13" max="13" width="10.28125" style="0" customWidth="1"/>
    <col min="14" max="14" width="9.7109375" style="0" bestFit="1" customWidth="1"/>
    <col min="15" max="15" width="12.140625" style="0" bestFit="1" customWidth="1"/>
    <col min="16" max="17" width="8.28125" style="0" bestFit="1" customWidth="1"/>
  </cols>
  <sheetData>
    <row r="1" spans="1:17" ht="20.25">
      <c r="A1" s="16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5</v>
      </c>
      <c r="E3" s="1"/>
      <c r="F3" s="1" t="s">
        <v>1</v>
      </c>
      <c r="G3" s="1"/>
      <c r="H3" s="1" t="s">
        <v>3</v>
      </c>
      <c r="I3" s="1"/>
      <c r="J3" s="1" t="s">
        <v>2</v>
      </c>
      <c r="K3" s="1"/>
      <c r="L3" s="1" t="s">
        <v>4</v>
      </c>
      <c r="M3" s="1"/>
      <c r="N3" s="1" t="s">
        <v>6</v>
      </c>
      <c r="O3" s="1"/>
      <c r="P3" s="1" t="s">
        <v>18</v>
      </c>
      <c r="Q3" s="5"/>
    </row>
    <row r="4" spans="1:17" ht="15.75">
      <c r="A4" s="10"/>
      <c r="B4" s="2"/>
      <c r="C4" s="5"/>
      <c r="D4" s="11">
        <v>15.7</v>
      </c>
      <c r="E4" s="3">
        <f>(((SQRT(D4)-0.422)/0.01012))</f>
        <v>349.83424419286456</v>
      </c>
      <c r="F4" s="11">
        <v>7.51</v>
      </c>
      <c r="G4" s="2">
        <f>((SQRT(F4)-1.279)/0.00398)</f>
        <v>367.195457590187</v>
      </c>
      <c r="H4" s="11">
        <v>3.36</v>
      </c>
      <c r="I4" s="2">
        <f>((SQRT(H4)-1.0935)/0.00208)</f>
        <v>355.54340287612314</v>
      </c>
      <c r="J4" s="11">
        <v>14.6</v>
      </c>
      <c r="K4" s="2">
        <f>(((100/(J4+0.24))-4.0062)/0.00656)</f>
        <v>416.51592597462366</v>
      </c>
      <c r="L4" s="11">
        <v>1.2</v>
      </c>
      <c r="M4" s="2">
        <f>((SQRT(L4)-0.8807)/0.00068)</f>
        <v>315.8016397210766</v>
      </c>
      <c r="N4" s="12">
        <v>61.66</v>
      </c>
      <c r="O4" s="5">
        <f>(((400/(N4+0.14))-4.0062)/0.00328)</f>
        <v>751.9182650564371</v>
      </c>
      <c r="P4" s="12">
        <v>220</v>
      </c>
      <c r="Q4" s="5">
        <f>(((800/P4)-2.0232)/0.00647)</f>
        <v>249.3297737810875</v>
      </c>
    </row>
    <row r="5" spans="1:17" ht="15.75">
      <c r="A5" s="10"/>
      <c r="B5" s="2"/>
      <c r="C5" s="5"/>
      <c r="D5" s="11">
        <v>12.1</v>
      </c>
      <c r="E5" s="3">
        <f>(((SQRT(D5)-0.422)/0.01012))</f>
        <v>302.0262278839147</v>
      </c>
      <c r="F5" s="11">
        <v>7.36</v>
      </c>
      <c r="G5" s="2">
        <f>((SQRT(F5)-1.279)/0.00398)</f>
        <v>360.2844204145998</v>
      </c>
      <c r="H5" s="11">
        <v>2.55</v>
      </c>
      <c r="I5" s="2">
        <f>((SQRT(H5)-1.0935)/0.00208)</f>
        <v>242.00574147458235</v>
      </c>
      <c r="J5" s="11">
        <v>14.87</v>
      </c>
      <c r="K5" s="2">
        <f>(((100/(J5+0.24))-4.0062)/0.00656)</f>
        <v>398.1606229116561</v>
      </c>
      <c r="L5" s="11"/>
      <c r="M5" s="2">
        <v>0</v>
      </c>
      <c r="N5" s="12"/>
      <c r="O5" s="5">
        <v>0</v>
      </c>
      <c r="P5" s="12">
        <v>167</v>
      </c>
      <c r="Q5" s="5">
        <f>(((800/P5)-2.0232)/0.00647)</f>
        <v>427.70002498866245</v>
      </c>
    </row>
    <row r="6" spans="1:17" ht="15.75">
      <c r="A6" s="10"/>
      <c r="B6" s="2"/>
      <c r="C6" s="5"/>
      <c r="D6" s="11"/>
      <c r="E6" s="3">
        <v>0</v>
      </c>
      <c r="F6" s="11"/>
      <c r="G6" s="2">
        <v>0</v>
      </c>
      <c r="H6" s="11"/>
      <c r="I6" s="2">
        <v>0</v>
      </c>
      <c r="J6" s="11"/>
      <c r="K6" s="2">
        <v>0</v>
      </c>
      <c r="L6" s="11"/>
      <c r="M6" s="2">
        <v>0</v>
      </c>
      <c r="N6" s="12"/>
      <c r="O6" s="5">
        <v>0</v>
      </c>
      <c r="P6" s="12"/>
      <c r="Q6" s="5">
        <v>0</v>
      </c>
    </row>
    <row r="7" spans="1:17" ht="15.75">
      <c r="A7" s="10" t="e">
        <f>RANK(C7,C4:C15,0)</f>
        <v>#DIV/0!</v>
      </c>
      <c r="B7" s="6" t="s">
        <v>50</v>
      </c>
      <c r="C7" s="5">
        <f>SUM(L7:Q7)</f>
        <v>1744.7497035472636</v>
      </c>
      <c r="D7" s="11"/>
      <c r="E7" s="2">
        <f>SUM(E4:E6)-MIN(E4:E6)</f>
        <v>651.8604720767793</v>
      </c>
      <c r="F7" s="11"/>
      <c r="G7" s="2">
        <f>SUM(G4:G6)-MIN(G4:G6)</f>
        <v>727.4798780047868</v>
      </c>
      <c r="H7" s="11"/>
      <c r="I7" s="2">
        <f>SUM(I4:I6)-MIN(I4:I6)</f>
        <v>597.5491443507055</v>
      </c>
      <c r="J7" s="11"/>
      <c r="K7" s="2">
        <f>SUM(K4:K6)-MIN(K4:K6)</f>
        <v>814.6765488862798</v>
      </c>
      <c r="L7" s="11"/>
      <c r="M7" s="2">
        <f>SUM(M4:M6)-MIN(M4:M6)</f>
        <v>315.8016397210766</v>
      </c>
      <c r="N7" s="12"/>
      <c r="O7" s="2">
        <f>SUM(O4:O5)-MIN(O4:O5)</f>
        <v>751.9182650564371</v>
      </c>
      <c r="P7" s="12"/>
      <c r="Q7" s="2">
        <f>SUM(Q4:Q6)-MIN(Q4:Q6)</f>
        <v>677.02979876975</v>
      </c>
    </row>
    <row r="8" spans="1:17" ht="15.75">
      <c r="A8" s="10"/>
      <c r="B8" s="2"/>
      <c r="C8" s="5"/>
      <c r="D8" s="11">
        <v>14.6</v>
      </c>
      <c r="E8" s="3">
        <f>(((SQRT(D8)-0.422)/0.01012))</f>
        <v>335.8690350700158</v>
      </c>
      <c r="F8" s="11">
        <v>9.37</v>
      </c>
      <c r="G8" s="2">
        <f>((SQRT(F8)-1.279)/0.00398)</f>
        <v>447.7501439705511</v>
      </c>
      <c r="H8" s="11">
        <v>5.01</v>
      </c>
      <c r="I8" s="2">
        <f>((SQRT(H8)-1.0935)/0.00208)</f>
        <v>550.3860233461247</v>
      </c>
      <c r="J8" s="11">
        <v>14.13</v>
      </c>
      <c r="K8" s="2">
        <f>(((100/(J8+0.24))-4.0062)/0.00656)</f>
        <v>450.1131464602746</v>
      </c>
      <c r="L8" s="11">
        <v>1.4</v>
      </c>
      <c r="M8" s="2">
        <f>((SQRT(L8)-0.8807)/0.00068)</f>
        <v>444.8764067940046</v>
      </c>
      <c r="N8" s="12">
        <v>56.2</v>
      </c>
      <c r="O8" s="5">
        <f>(((400/(N8+0.14))-4.0062)/0.00328)</f>
        <v>943.1559477735351</v>
      </c>
      <c r="P8" s="12">
        <v>162</v>
      </c>
      <c r="Q8" s="5">
        <f>(((800/P8)-2.0232)/0.00647)</f>
        <v>450.5520254927776</v>
      </c>
    </row>
    <row r="9" spans="1:17" ht="15.75">
      <c r="A9" s="10"/>
      <c r="B9" s="2"/>
      <c r="C9" s="5"/>
      <c r="D9" s="11">
        <v>27.3</v>
      </c>
      <c r="E9" s="3">
        <f>(((SQRT(D9)-0.422)/0.01012))</f>
        <v>474.5988331072384</v>
      </c>
      <c r="F9" s="11">
        <v>8.52</v>
      </c>
      <c r="G9" s="2">
        <f>((SQRT(F9)-1.279)/0.00398)</f>
        <v>412.03615675007154</v>
      </c>
      <c r="H9" s="11">
        <v>4.52</v>
      </c>
      <c r="I9" s="2">
        <f>((SQRT(H9)-1.0935)/0.00208)</f>
        <v>496.40825122448547</v>
      </c>
      <c r="J9" s="11">
        <v>14.14</v>
      </c>
      <c r="K9" s="2">
        <f>(((100/(J9+0.24))-4.0062)/0.00656)</f>
        <v>449.3754452321992</v>
      </c>
      <c r="L9" s="11">
        <v>1.56</v>
      </c>
      <c r="M9" s="2">
        <f>((SQRT(L9)-0.8807)/0.00068)</f>
        <v>541.6170583524699</v>
      </c>
      <c r="N9" s="12"/>
      <c r="O9" s="5">
        <v>0</v>
      </c>
      <c r="P9" s="12">
        <v>177</v>
      </c>
      <c r="Q9" s="5">
        <f>(((800/P9)-2.0232)/0.00647)</f>
        <v>385.8692444048586</v>
      </c>
    </row>
    <row r="10" spans="1:17" ht="15.75">
      <c r="A10" s="10"/>
      <c r="B10" s="2"/>
      <c r="C10" s="5"/>
      <c r="D10" s="11">
        <v>26.5</v>
      </c>
      <c r="E10" s="3">
        <f>(((SQRT(D10)-0.422)/0.01012))</f>
        <v>466.97777376417986</v>
      </c>
      <c r="F10" s="11">
        <v>8.41</v>
      </c>
      <c r="G10" s="2">
        <f>((SQRT(F10)-1.279)/0.00398)</f>
        <v>407.286432160804</v>
      </c>
      <c r="H10" s="11">
        <v>4.3</v>
      </c>
      <c r="I10" s="2">
        <f>((SQRT(H10)-1.0935)/0.00208)</f>
        <v>471.22314198690964</v>
      </c>
      <c r="J10" s="11">
        <v>14.37</v>
      </c>
      <c r="K10" s="2">
        <f>(((100/(J10+0.24))-4.0062)/0.00656)</f>
        <v>432.687037779002</v>
      </c>
      <c r="L10" s="11"/>
      <c r="M10" s="2">
        <v>0</v>
      </c>
      <c r="N10" s="12"/>
      <c r="O10" s="5">
        <v>0</v>
      </c>
      <c r="P10" s="12"/>
      <c r="Q10" s="5">
        <v>0</v>
      </c>
    </row>
    <row r="11" spans="1:17" ht="15.75">
      <c r="A11" s="10" t="e">
        <f>RANK(C11,C4:C15,0)</f>
        <v>#DIV/0!</v>
      </c>
      <c r="B11" s="6" t="s">
        <v>45</v>
      </c>
      <c r="C11" s="5">
        <f>SUM(L11:Q11)</f>
        <v>2766.070682817646</v>
      </c>
      <c r="D11" s="11"/>
      <c r="E11" s="2">
        <f>SUM(E8:E10)-MIN(E8:E10)</f>
        <v>941.5766068714183</v>
      </c>
      <c r="F11" s="11"/>
      <c r="G11" s="2">
        <f>SUM(G8:G10)-MIN(G8:G10)</f>
        <v>859.7863007206226</v>
      </c>
      <c r="H11" s="11"/>
      <c r="I11" s="2">
        <f>SUM(I8:I10)-MIN(I8:I10)</f>
        <v>1046.7942745706102</v>
      </c>
      <c r="J11" s="11"/>
      <c r="K11" s="2">
        <f>SUM(K8:K10)-MIN(K8:K10)</f>
        <v>899.488591692474</v>
      </c>
      <c r="L11" s="11"/>
      <c r="M11" s="2">
        <f>SUM(M8:M10)-MIN(M8:M10)</f>
        <v>986.4934651464746</v>
      </c>
      <c r="N11" s="12"/>
      <c r="O11" s="2">
        <f>SUM(O8:O9)-MIN(O8:O9)</f>
        <v>943.1559477735351</v>
      </c>
      <c r="P11" s="12"/>
      <c r="Q11" s="2">
        <f>SUM(Q8:Q10)-MIN(Q8:Q10)</f>
        <v>836.4212698976362</v>
      </c>
    </row>
    <row r="12" spans="1:17" ht="15.75">
      <c r="A12" s="10"/>
      <c r="B12" s="2"/>
      <c r="C12" s="5"/>
      <c r="D12" s="11"/>
      <c r="E12" s="3">
        <f>(((SQRT(D12)-0.422)/0.01012))</f>
        <v>-41.699604743083</v>
      </c>
      <c r="F12" s="11"/>
      <c r="G12" s="2">
        <f>((SQRT(F12)-1.279)/0.00398)</f>
        <v>-321.35678391959794</v>
      </c>
      <c r="H12" s="11"/>
      <c r="I12" s="2">
        <f>((SQRT(H12)-1.0935)/0.00208)</f>
        <v>-525.7211538461538</v>
      </c>
      <c r="J12" s="11"/>
      <c r="K12" s="2">
        <f>(((100/(J12+0.24))-4.0062)/0.00656)</f>
        <v>62905.55894308944</v>
      </c>
      <c r="L12" s="11"/>
      <c r="M12" s="2">
        <f>((SQRT(L12)-0.8807)/0.00068)</f>
        <v>-1295.1470588235293</v>
      </c>
      <c r="N12" s="12"/>
      <c r="O12" s="5">
        <f>(((400/(N12+0.14))-4.0062)/0.00328)</f>
        <v>869858.736933798</v>
      </c>
      <c r="P12" s="12"/>
      <c r="Q12" s="5" t="e">
        <f>(((800/P12)-2.0232)/0.00647)</f>
        <v>#DIV/0!</v>
      </c>
    </row>
    <row r="13" spans="1:17" ht="15.75">
      <c r="A13" s="10"/>
      <c r="B13" s="2"/>
      <c r="C13" s="5"/>
      <c r="D13" s="11"/>
      <c r="E13" s="3">
        <f>(((SQRT(D13)-0.422)/0.01012))</f>
        <v>-41.699604743083</v>
      </c>
      <c r="F13" s="11"/>
      <c r="G13" s="2">
        <f>((SQRT(F13)-1.279)/0.00398)</f>
        <v>-321.35678391959794</v>
      </c>
      <c r="H13" s="11"/>
      <c r="I13" s="2">
        <f>((SQRT(H13)-1.0935)/0.00208)</f>
        <v>-525.7211538461538</v>
      </c>
      <c r="J13" s="11"/>
      <c r="K13" s="2">
        <f>(((100/(J13+0.24))-4.0062)/0.00656)</f>
        <v>62905.55894308944</v>
      </c>
      <c r="L13" s="11"/>
      <c r="M13" s="2">
        <f>((SQRT(L13)-0.8807)/0.00068)</f>
        <v>-1295.1470588235293</v>
      </c>
      <c r="N13" s="12"/>
      <c r="O13" s="5">
        <f>(((400/(N13+0.14))-4.0062)/0.00328)</f>
        <v>869858.736933798</v>
      </c>
      <c r="P13" s="12"/>
      <c r="Q13" s="5" t="e">
        <f>(((800/P13)-2.0232)/0.00647)</f>
        <v>#DIV/0!</v>
      </c>
    </row>
    <row r="14" spans="1:17" ht="15.75">
      <c r="A14" s="10"/>
      <c r="B14" s="2"/>
      <c r="C14" s="5"/>
      <c r="D14" s="11"/>
      <c r="E14" s="3">
        <f>(((SQRT(D14)-0.422)/0.01012))</f>
        <v>-41.699604743083</v>
      </c>
      <c r="F14" s="11"/>
      <c r="G14" s="2">
        <f>((SQRT(F14)-1.279)/0.00398)</f>
        <v>-321.35678391959794</v>
      </c>
      <c r="H14" s="11"/>
      <c r="I14" s="2">
        <f>((SQRT(H14)-1.0935)/0.00208)</f>
        <v>-525.7211538461538</v>
      </c>
      <c r="J14" s="11"/>
      <c r="K14" s="2">
        <f>(((100/(J14+0.24))-4.0062)/0.00656)</f>
        <v>62905.55894308944</v>
      </c>
      <c r="L14" s="11"/>
      <c r="M14" s="2">
        <f>((SQRT(L14)-0.8807)/0.00068)</f>
        <v>-1295.1470588235293</v>
      </c>
      <c r="N14" s="12"/>
      <c r="O14" s="5">
        <v>0</v>
      </c>
      <c r="P14" s="12"/>
      <c r="Q14" s="5" t="e">
        <f>(((800/P14)-2.0232)/0.00647)</f>
        <v>#DIV/0!</v>
      </c>
    </row>
    <row r="15" spans="1:17" ht="15.75">
      <c r="A15" s="10" t="e">
        <f>RANK(C15,C4:C15,0)</f>
        <v>#DIV/0!</v>
      </c>
      <c r="B15" s="6"/>
      <c r="C15" s="5" t="e">
        <f>SUM(L15:Q15)</f>
        <v>#DIV/0!</v>
      </c>
      <c r="D15" s="11"/>
      <c r="E15" s="2">
        <f>SUM(E12:E14)-MIN(E12:E14)</f>
        <v>-83.399209486166</v>
      </c>
      <c r="F15" s="11"/>
      <c r="G15" s="2">
        <f>SUM(G12:G14)-MIN(G12:G14)</f>
        <v>-642.7135678391958</v>
      </c>
      <c r="H15" s="11"/>
      <c r="I15" s="2">
        <f>SUM(I12:I14)-MIN(I12:I14)</f>
        <v>-1051.4423076923076</v>
      </c>
      <c r="J15" s="11"/>
      <c r="K15" s="2">
        <f>SUM(K12:K14)-MIN(K12:K14)</f>
        <v>125811.11788617886</v>
      </c>
      <c r="L15" s="11"/>
      <c r="M15" s="2">
        <f>SUM(M12:M14)-MIN(M12:M14)</f>
        <v>-2590.2941176470586</v>
      </c>
      <c r="N15" s="12"/>
      <c r="O15" s="2">
        <f>SUM(O12:O13)-MIN(O12:O13)</f>
        <v>869858.736933798</v>
      </c>
      <c r="P15" s="12"/>
      <c r="Q15" s="2" t="e">
        <f>SUM(Q12:Q14)-MIN(Q12:Q14)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zoomScalePageLayoutView="0" workbookViewId="0" topLeftCell="A1">
      <selection activeCell="P31" sqref="P31"/>
    </sheetView>
  </sheetViews>
  <sheetFormatPr defaultColWidth="11.421875" defaultRowHeight="15"/>
  <cols>
    <col min="1" max="1" width="8.8515625" style="0" bestFit="1" customWidth="1"/>
    <col min="2" max="2" width="29.7109375" style="0" bestFit="1" customWidth="1"/>
    <col min="3" max="3" width="18.7109375" style="0" bestFit="1" customWidth="1"/>
    <col min="4" max="4" width="8.140625" style="0" customWidth="1"/>
    <col min="5" max="5" width="9.57421875" style="0" bestFit="1" customWidth="1"/>
    <col min="6" max="6" width="7.00390625" style="0" bestFit="1" customWidth="1"/>
    <col min="7" max="7" width="8.28125" style="0" bestFit="1" customWidth="1"/>
    <col min="8" max="8" width="7.7109375" style="0" bestFit="1" customWidth="1"/>
    <col min="9" max="9" width="9.57421875" style="0" bestFit="1" customWidth="1"/>
    <col min="10" max="10" width="7.7109375" style="0" customWidth="1"/>
    <col min="11" max="11" width="8.28125" style="0" bestFit="1" customWidth="1"/>
    <col min="12" max="12" width="7.421875" style="0" customWidth="1"/>
    <col min="13" max="13" width="9.57421875" style="0" bestFit="1" customWidth="1"/>
    <col min="14" max="14" width="8.421875" style="0" bestFit="1" customWidth="1"/>
    <col min="15" max="17" width="8.28125" style="0" bestFit="1" customWidth="1"/>
  </cols>
  <sheetData>
    <row r="1" spans="1:17" ht="20.25">
      <c r="A1" s="13"/>
      <c r="B1" s="14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3</v>
      </c>
      <c r="E3" s="1"/>
      <c r="F3" s="1" t="s">
        <v>10</v>
      </c>
      <c r="G3" s="1"/>
      <c r="H3" s="1" t="s">
        <v>1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18</v>
      </c>
      <c r="Q3" s="5"/>
    </row>
    <row r="4" spans="1:17" ht="15.75">
      <c r="A4" s="10"/>
      <c r="B4" s="8"/>
      <c r="C4" s="5"/>
      <c r="D4" s="12">
        <v>4.5</v>
      </c>
      <c r="E4" s="2">
        <f>((SQRT(D4)-1.0935)/0.00208)</f>
        <v>494.1443959421359</v>
      </c>
      <c r="F4" s="12">
        <v>11.33</v>
      </c>
      <c r="G4" s="2">
        <f>(((75/(F4+0.24))-3.998)/0.0066)</f>
        <v>376.40632775464223</v>
      </c>
      <c r="H4" s="12">
        <v>6.46</v>
      </c>
      <c r="I4" s="2">
        <f>((SQRT(H4)-1.279)/0.00398)</f>
        <v>317.2494988511977</v>
      </c>
      <c r="J4" s="12">
        <v>1.41</v>
      </c>
      <c r="K4" s="2">
        <f>((SQRT(J4)-0.8807)/0.00068)</f>
        <v>451.0797186820465</v>
      </c>
      <c r="L4" s="12">
        <v>38</v>
      </c>
      <c r="M4" s="2">
        <f>((SQRT(L4)-1.4149)/0.01039)</f>
        <v>457.1235806514895</v>
      </c>
      <c r="N4" s="12">
        <v>42.37</v>
      </c>
      <c r="O4" s="5">
        <f>(((300/(N4+0.24))-3.998)/0.0033)</f>
        <v>922.0002417984111</v>
      </c>
      <c r="P4" s="12">
        <v>178</v>
      </c>
      <c r="Q4" s="5">
        <f>(((800/P4)-2.0232)/0.00647)</f>
        <v>381.9446711703107</v>
      </c>
    </row>
    <row r="5" spans="1:17" ht="15.75">
      <c r="A5" s="10"/>
      <c r="B5" s="8"/>
      <c r="C5" s="5"/>
      <c r="D5" s="12">
        <v>4.36</v>
      </c>
      <c r="E5" s="2">
        <f>((SQRT(D5)-1.0935)/0.00208)</f>
        <v>478.15447201062995</v>
      </c>
      <c r="F5" s="12">
        <v>10.87</v>
      </c>
      <c r="G5" s="2">
        <f>(((75/(F5+0.24))-3.998)/0.0066)</f>
        <v>417.0719799252652</v>
      </c>
      <c r="H5" s="12">
        <v>7.7</v>
      </c>
      <c r="I5" s="2">
        <f>((SQRT(H5)-1.279)/0.00398)</f>
        <v>375.85110178450293</v>
      </c>
      <c r="J5" s="12">
        <v>1.25</v>
      </c>
      <c r="K5" s="2">
        <f>((SQRT(J5)-0.8807)/0.00068)</f>
        <v>349.0205716910218</v>
      </c>
      <c r="L5" s="12">
        <v>40</v>
      </c>
      <c r="M5" s="2">
        <f>((SQRT(L5)-1.4149)/0.01039)</f>
        <v>472.5366044597458</v>
      </c>
      <c r="N5" s="12"/>
      <c r="O5" s="5">
        <v>0</v>
      </c>
      <c r="P5" s="12">
        <v>172</v>
      </c>
      <c r="Q5" s="5">
        <f>(((800/P5)-2.0232)/0.00647)</f>
        <v>406.1766291650193</v>
      </c>
    </row>
    <row r="6" spans="1:17" ht="15.75">
      <c r="A6" s="10"/>
      <c r="B6" s="8"/>
      <c r="C6" s="5"/>
      <c r="D6" s="12">
        <v>4.34</v>
      </c>
      <c r="E6" s="2">
        <f>((SQRT(D6)-1.0935)/0.00208)</f>
        <v>475.8493584615221</v>
      </c>
      <c r="F6" s="12">
        <v>10.57</v>
      </c>
      <c r="G6" s="2">
        <f>(((75/(F6+0.24))-3.998)/0.0066)</f>
        <v>445.45762901914605</v>
      </c>
      <c r="H6" s="12">
        <v>8.91</v>
      </c>
      <c r="I6" s="2">
        <f>((SQRT(H6)-1.279)/0.00398)</f>
        <v>428.6337465627789</v>
      </c>
      <c r="J6" s="12">
        <v>1.35</v>
      </c>
      <c r="K6" s="2">
        <f>((SQRT(J6)-0.8807)/0.00068)</f>
        <v>413.52206450327213</v>
      </c>
      <c r="L6" s="12">
        <v>28.5</v>
      </c>
      <c r="M6" s="2">
        <f>((SQRT(L6)-1.4149)/0.01039)</f>
        <v>377.63610452508715</v>
      </c>
      <c r="N6" s="12"/>
      <c r="O6" s="5">
        <v>0</v>
      </c>
      <c r="P6" s="12">
        <v>159</v>
      </c>
      <c r="Q6" s="5">
        <f>(((800/P6)-2.0232)/0.00647)</f>
        <v>464.9530975085785</v>
      </c>
    </row>
    <row r="7" spans="1:17" ht="15.75">
      <c r="A7" s="10" t="e">
        <f>RANK(C7,C4:C35,0)</f>
        <v>#DIV/0!</v>
      </c>
      <c r="B7" s="9" t="s">
        <v>44</v>
      </c>
      <c r="C7" s="5">
        <f>SUM(D7:Q7)</f>
        <v>6226.705262013023</v>
      </c>
      <c r="D7" s="11"/>
      <c r="E7" s="2">
        <f>SUM(E4:E6)-MIN(E4:E6)</f>
        <v>972.2988679527657</v>
      </c>
      <c r="F7" s="11"/>
      <c r="G7" s="2">
        <f>SUM(G4:G6)-MIN(G4:G6)</f>
        <v>862.5296089444112</v>
      </c>
      <c r="H7" s="11"/>
      <c r="I7" s="2">
        <f>SUM(I4:I6)-MIN(I4:I6)</f>
        <v>804.4848483472819</v>
      </c>
      <c r="J7" s="11"/>
      <c r="K7" s="2">
        <f>SUM(K4:K6)-MIN(K4:K6)</f>
        <v>864.6017831853187</v>
      </c>
      <c r="L7" s="11"/>
      <c r="M7" s="2">
        <f>SUM(M4:M6)-MIN(M4:M6)</f>
        <v>929.6601851112353</v>
      </c>
      <c r="N7" s="12"/>
      <c r="O7" s="2">
        <f>SUM(O4:O5)-MIN(O4:O5)</f>
        <v>922.0002417984111</v>
      </c>
      <c r="P7" s="12"/>
      <c r="Q7" s="2">
        <f>SUM(Q4:Q6)-MIN(Q4:Q6)</f>
        <v>871.1297266735979</v>
      </c>
    </row>
    <row r="8" spans="1:17" ht="15.75">
      <c r="A8" s="10"/>
      <c r="B8" s="8"/>
      <c r="C8" s="5"/>
      <c r="D8" s="12">
        <v>3.86</v>
      </c>
      <c r="E8" s="2">
        <f>((SQRT(D8)-1.0935)/0.00208)</f>
        <v>418.8405146340626</v>
      </c>
      <c r="F8" s="12">
        <v>11.63</v>
      </c>
      <c r="G8" s="2">
        <f>(((75/(F8+0.24))-3.998)/0.0066)</f>
        <v>351.5833141865155</v>
      </c>
      <c r="H8" s="12">
        <v>7.13</v>
      </c>
      <c r="I8" s="2">
        <f>((SQRT(H8)-1.279)/0.00398)</f>
        <v>349.54924235269795</v>
      </c>
      <c r="J8" s="12">
        <v>1.25</v>
      </c>
      <c r="K8" s="2">
        <f>((SQRT(J8)-0.8807)/0.00068)</f>
        <v>349.0205716910218</v>
      </c>
      <c r="L8" s="12">
        <v>27</v>
      </c>
      <c r="M8" s="2">
        <f>((SQRT(L8)-1.4149)/0.01039)</f>
        <v>363.9318982393293</v>
      </c>
      <c r="N8" s="12">
        <v>43.88</v>
      </c>
      <c r="O8" s="5">
        <f>(((300/(N8+0.24))-3.998)/0.0033)</f>
        <v>848.9810159619766</v>
      </c>
      <c r="P8" s="12">
        <v>179</v>
      </c>
      <c r="Q8" s="5">
        <f>(((800/P8)-2.0232)/0.00647)</f>
        <v>378.063947916037</v>
      </c>
    </row>
    <row r="9" spans="1:17" ht="15.75">
      <c r="A9" s="10"/>
      <c r="B9" s="8"/>
      <c r="C9" s="5"/>
      <c r="D9" s="12">
        <v>3.82</v>
      </c>
      <c r="E9" s="2">
        <f>((SQRT(D9)-1.0935)/0.00208)</f>
        <v>413.9336675813493</v>
      </c>
      <c r="F9" s="12">
        <v>11.45</v>
      </c>
      <c r="G9" s="2">
        <f>(((75/(F9+0.24))-3.998)/0.0066)</f>
        <v>366.324234647588</v>
      </c>
      <c r="H9" s="12">
        <v>6.67</v>
      </c>
      <c r="I9" s="2">
        <f>((SQRT(H9)-1.279)/0.00398)</f>
        <v>327.54631005753566</v>
      </c>
      <c r="J9" s="12">
        <v>1.25</v>
      </c>
      <c r="K9" s="2">
        <f>((SQRT(J9)-0.8807)/0.00068)</f>
        <v>349.0205716910218</v>
      </c>
      <c r="L9" s="12">
        <v>24</v>
      </c>
      <c r="M9" s="2">
        <f>((SQRT(L9)-1.4149)/0.01039)</f>
        <v>335.3300756079264</v>
      </c>
      <c r="N9" s="12"/>
      <c r="O9" s="5">
        <v>0</v>
      </c>
      <c r="P9" s="12">
        <v>163</v>
      </c>
      <c r="Q9" s="5">
        <f>(((800/P9)-2.0232)/0.00647)</f>
        <v>445.8694683342657</v>
      </c>
    </row>
    <row r="10" spans="1:17" ht="15.75">
      <c r="A10" s="10"/>
      <c r="B10" s="8"/>
      <c r="C10" s="5"/>
      <c r="D10" s="12">
        <v>3.65</v>
      </c>
      <c r="E10" s="2">
        <f>((SQRT(D10)-1.0935)/0.00208)</f>
        <v>392.78717185301934</v>
      </c>
      <c r="F10" s="12"/>
      <c r="G10" s="2">
        <v>0</v>
      </c>
      <c r="H10" s="12"/>
      <c r="I10" s="2">
        <v>0</v>
      </c>
      <c r="J10" s="12"/>
      <c r="K10" s="2">
        <v>0</v>
      </c>
      <c r="L10" s="12">
        <v>31.5</v>
      </c>
      <c r="M10" s="2">
        <f>((SQRT(L10)-1.4149)/0.01039)</f>
        <v>404.0025101213582</v>
      </c>
      <c r="N10" s="12"/>
      <c r="O10" s="5">
        <v>0</v>
      </c>
      <c r="P10" s="12">
        <v>160</v>
      </c>
      <c r="Q10" s="5">
        <f>(((800/P10)-2.0232)/0.00647)</f>
        <v>460.09273570324575</v>
      </c>
    </row>
    <row r="11" spans="1:17" ht="15.75">
      <c r="A11" s="10" t="e">
        <f>RANK(C11,C4:C35,0)</f>
        <v>#DIV/0!</v>
      </c>
      <c r="B11" s="9" t="s">
        <v>43</v>
      </c>
      <c r="C11" s="5">
        <f>SUM(D11:Q11)</f>
        <v>5448.696055201968</v>
      </c>
      <c r="D11" s="11"/>
      <c r="E11" s="2">
        <f>SUM(E8:E10)-MIN(E8:E10)</f>
        <v>832.7741822154119</v>
      </c>
      <c r="F11" s="11"/>
      <c r="G11" s="2">
        <f>SUM(G8:G10)-MIN(G8:G10)</f>
        <v>717.9075488341035</v>
      </c>
      <c r="H11" s="11"/>
      <c r="I11" s="2">
        <f>SUM(I8:I10)-MIN(I8:I10)</f>
        <v>677.0955524102336</v>
      </c>
      <c r="J11" s="11"/>
      <c r="K11" s="2">
        <f>SUM(K8:K10)-MIN(K8:K10)</f>
        <v>698.0411433820436</v>
      </c>
      <c r="L11" s="11"/>
      <c r="M11" s="2">
        <f>SUM(M8:M10)-MIN(M8:M10)</f>
        <v>767.9344083606877</v>
      </c>
      <c r="N11" s="12"/>
      <c r="O11" s="2">
        <f>SUM(O8:O9)-MIN(O8:O9)</f>
        <v>848.9810159619766</v>
      </c>
      <c r="P11" s="12"/>
      <c r="Q11" s="2">
        <f>SUM(Q8:Q10)-MIN(Q8:Q10)</f>
        <v>905.9622040375116</v>
      </c>
    </row>
    <row r="12" spans="1:17" ht="15.75">
      <c r="A12" s="10"/>
      <c r="B12" s="8"/>
      <c r="C12" s="5"/>
      <c r="D12" s="12">
        <v>4.27</v>
      </c>
      <c r="E12" s="2">
        <f>((SQRT(D12)-1.0935)/0.00208)</f>
        <v>467.73934229672244</v>
      </c>
      <c r="F12" s="12">
        <v>11.59</v>
      </c>
      <c r="G12" s="2">
        <f>(((75/(F12+0.24))-3.998)/0.0066)</f>
        <v>354.8203078972309</v>
      </c>
      <c r="H12" s="12">
        <v>5.7</v>
      </c>
      <c r="I12" s="2">
        <f>((SQRT(H12)-1.279)/0.00398)</f>
        <v>278.5093661463981</v>
      </c>
      <c r="J12" s="12">
        <v>1.15</v>
      </c>
      <c r="K12" s="2">
        <f>((SQRT(J12)-0.8807)/0.00068)</f>
        <v>281.88313158288355</v>
      </c>
      <c r="L12" s="12"/>
      <c r="M12" s="2">
        <v>0</v>
      </c>
      <c r="N12" s="12">
        <v>44.99</v>
      </c>
      <c r="O12" s="5">
        <f>(((300/(N12+0.24))-3.998)/0.0033)</f>
        <v>798.4138979894009</v>
      </c>
      <c r="P12" s="12">
        <v>197</v>
      </c>
      <c r="Q12" s="5">
        <f>(((800/P12)-2.0232)/0.00647)</f>
        <v>314.9480225013533</v>
      </c>
    </row>
    <row r="13" spans="1:17" ht="15.75">
      <c r="A13" s="10"/>
      <c r="B13" s="8"/>
      <c r="C13" s="5"/>
      <c r="D13" s="12">
        <v>4.16</v>
      </c>
      <c r="E13" s="2">
        <f>((SQRT(D13)-1.0935)/0.00208)</f>
        <v>454.85952184476645</v>
      </c>
      <c r="F13" s="12">
        <v>11.59</v>
      </c>
      <c r="G13" s="2">
        <f>(((75/(F13+0.24))-3.998)/0.0066)</f>
        <v>354.8203078972309</v>
      </c>
      <c r="H13" s="12">
        <v>6.8</v>
      </c>
      <c r="I13" s="2">
        <f>((SQRT(H13)-1.279)/0.00398)</f>
        <v>333.83943770880893</v>
      </c>
      <c r="J13" s="12">
        <v>1.1</v>
      </c>
      <c r="K13" s="2">
        <f>((SQRT(J13)-0.8807)/0.00068)</f>
        <v>247.21889436786998</v>
      </c>
      <c r="L13" s="12"/>
      <c r="M13" s="2">
        <v>0</v>
      </c>
      <c r="N13" s="12"/>
      <c r="O13" s="5">
        <v>0</v>
      </c>
      <c r="P13" s="12">
        <v>194</v>
      </c>
      <c r="Q13" s="5">
        <f>(((800/P13)-2.0232)/0.00647)</f>
        <v>324.6539938494876</v>
      </c>
    </row>
    <row r="14" spans="1:17" ht="15.75">
      <c r="A14" s="10"/>
      <c r="B14" s="8"/>
      <c r="C14" s="5"/>
      <c r="D14" s="12"/>
      <c r="E14" s="2">
        <v>0</v>
      </c>
      <c r="F14" s="12">
        <v>11.08</v>
      </c>
      <c r="G14" s="2">
        <f>(((75/(F14+0.24))-3.998)/0.0066)</f>
        <v>398.0972266837991</v>
      </c>
      <c r="H14" s="12">
        <v>7.03</v>
      </c>
      <c r="I14" s="2">
        <f>((SQRT(H14)-1.279)/0.00398)</f>
        <v>344.82781826949014</v>
      </c>
      <c r="J14" s="12"/>
      <c r="K14" s="2">
        <v>0</v>
      </c>
      <c r="L14" s="12"/>
      <c r="M14" s="2">
        <v>0</v>
      </c>
      <c r="N14" s="12"/>
      <c r="O14" s="5">
        <v>0</v>
      </c>
      <c r="P14" s="12">
        <v>183</v>
      </c>
      <c r="Q14" s="5">
        <f>(((800/P14)-2.0232)/0.00647)</f>
        <v>362.9651776589725</v>
      </c>
    </row>
    <row r="15" spans="1:17" ht="15.75">
      <c r="A15" s="10" t="e">
        <f>RANK(C15,C4:C35,0)</f>
        <v>#DIV/0!</v>
      </c>
      <c r="B15" s="9" t="s">
        <v>46</v>
      </c>
      <c r="C15" s="5">
        <f>SUM(D15:Q15)</f>
        <v>4369.318750149432</v>
      </c>
      <c r="D15" s="11"/>
      <c r="E15" s="2">
        <f>SUM(E12:E14)-MIN(E12:E14)</f>
        <v>922.5988641414889</v>
      </c>
      <c r="F15" s="11"/>
      <c r="G15" s="2">
        <f>SUM(G12:G14)-MIN(G12:G14)</f>
        <v>752.91753458103</v>
      </c>
      <c r="H15" s="11"/>
      <c r="I15" s="2">
        <f>SUM(I12:I14)-MIN(I12:I14)</f>
        <v>678.667255978299</v>
      </c>
      <c r="J15" s="11"/>
      <c r="K15" s="2">
        <f>SUM(K12:K14)-MIN(K12:K14)</f>
        <v>529.1020259507535</v>
      </c>
      <c r="L15" s="11"/>
      <c r="M15" s="2">
        <f>SUM(M12:M14)-MIN(M12:M14)</f>
        <v>0</v>
      </c>
      <c r="N15" s="12"/>
      <c r="O15" s="2">
        <f>SUM(O12:O13)-MIN(O12:O13)</f>
        <v>798.4138979894009</v>
      </c>
      <c r="P15" s="12"/>
      <c r="Q15" s="2">
        <f>SUM(Q12:Q14)-MIN(Q12:Q14)</f>
        <v>687.6191715084601</v>
      </c>
    </row>
    <row r="16" spans="1:17" ht="15.75">
      <c r="A16" s="10"/>
      <c r="B16" s="8"/>
      <c r="C16" s="5"/>
      <c r="D16" s="12">
        <v>3.46</v>
      </c>
      <c r="E16" s="2">
        <f>((SQRT(D16)-1.0935)/0.00208)</f>
        <v>368.56130950664783</v>
      </c>
      <c r="F16" s="12">
        <v>11.49</v>
      </c>
      <c r="G16" s="2">
        <f>(((75/(F16+0.24))-3.998)/0.0066)</f>
        <v>363.009377664109</v>
      </c>
      <c r="H16" s="12">
        <v>6.77</v>
      </c>
      <c r="I16" s="2">
        <f>((SQRT(H16)-1.279)/0.00398)</f>
        <v>332.3925543345572</v>
      </c>
      <c r="J16" s="12">
        <v>1.2</v>
      </c>
      <c r="K16" s="2">
        <f>((SQRT(J16)-0.8807)/0.00068)</f>
        <v>315.8016397210766</v>
      </c>
      <c r="L16" s="12">
        <v>29</v>
      </c>
      <c r="M16" s="2">
        <f>((SQRT(L16)-1.4149)/0.01039)</f>
        <v>382.1236580495191</v>
      </c>
      <c r="N16" s="12">
        <v>43.57</v>
      </c>
      <c r="O16" s="5">
        <f>(((300/(N16+0.24))-3.998)/0.0033)</f>
        <v>863.5611075373685</v>
      </c>
      <c r="P16" s="12">
        <v>187</v>
      </c>
      <c r="Q16" s="5">
        <f>(((800/P16)-2.0232)/0.00647)</f>
        <v>348.5123440973973</v>
      </c>
    </row>
    <row r="17" spans="1:17" ht="15.75">
      <c r="A17" s="10"/>
      <c r="B17" s="8"/>
      <c r="C17" s="5"/>
      <c r="D17" s="12">
        <v>3.12</v>
      </c>
      <c r="E17" s="2">
        <f>((SQRT(D17)-1.0935)/0.00208)</f>
        <v>323.48662176229305</v>
      </c>
      <c r="F17" s="12">
        <v>11</v>
      </c>
      <c r="G17" s="2">
        <f>(((75/(F17+0.24))-3.998)/0.0066)</f>
        <v>405.2421007225277</v>
      </c>
      <c r="H17" s="12">
        <v>8.03</v>
      </c>
      <c r="I17" s="2">
        <f>((SQRT(H17)-1.279)/0.00398)</f>
        <v>390.6345384575253</v>
      </c>
      <c r="J17" s="12">
        <v>1.3</v>
      </c>
      <c r="K17" s="2">
        <f>((SQRT(J17)-0.8807)/0.00068)</f>
        <v>381.5815074987323</v>
      </c>
      <c r="L17" s="12">
        <v>51</v>
      </c>
      <c r="M17" s="2">
        <f>((SQRT(L17)-1.4149)/0.01039)</f>
        <v>551.157692833768</v>
      </c>
      <c r="N17" s="12">
        <v>44.4</v>
      </c>
      <c r="O17" s="5">
        <f>(((300/(N17+0.24))-3.998)/0.0033)</f>
        <v>824.9788204626915</v>
      </c>
      <c r="P17" s="12">
        <v>172</v>
      </c>
      <c r="Q17" s="5">
        <f>(((800/P17)-2.0232)/0.00647)</f>
        <v>406.1766291650193</v>
      </c>
    </row>
    <row r="18" spans="1:17" ht="15.75">
      <c r="A18" s="10"/>
      <c r="B18" s="8"/>
      <c r="C18" s="5"/>
      <c r="D18" s="12"/>
      <c r="E18" s="2">
        <v>0</v>
      </c>
      <c r="F18" s="12">
        <v>10.2</v>
      </c>
      <c r="G18" s="2">
        <f>(((75/(F18+0.24))-3.998)/0.0066)</f>
        <v>482.71334029954727</v>
      </c>
      <c r="H18" s="12">
        <v>11.05</v>
      </c>
      <c r="I18" s="2">
        <f>((SQRT(H18)-1.279)/0.00398)</f>
        <v>513.8577959092795</v>
      </c>
      <c r="J18" s="12">
        <v>1.25</v>
      </c>
      <c r="K18" s="2">
        <f>((SQRT(J18)-0.8807)/0.00068)</f>
        <v>349.0205716910218</v>
      </c>
      <c r="L18" s="12">
        <v>31</v>
      </c>
      <c r="M18" s="2">
        <f>((SQRT(L18)-1.4149)/0.01039)</f>
        <v>399.6982062396556</v>
      </c>
      <c r="N18" s="12"/>
      <c r="O18" s="5">
        <v>0</v>
      </c>
      <c r="P18" s="12">
        <v>167</v>
      </c>
      <c r="Q18" s="5">
        <f>(((800/P18)-2.0232)/0.00647)</f>
        <v>427.70002498866245</v>
      </c>
    </row>
    <row r="19" spans="1:17" ht="15.75">
      <c r="A19" s="10" t="e">
        <f>RANK(C19,C4:C35,0)</f>
        <v>#DIV/0!</v>
      </c>
      <c r="B19" s="9" t="s">
        <v>41</v>
      </c>
      <c r="C19" s="5">
        <f>SUM(D19:Q19)</f>
        <v>5863.391446612049</v>
      </c>
      <c r="D19" s="11"/>
      <c r="E19" s="2">
        <f>SUM(E16:E18)-MIN(E16:E18)</f>
        <v>692.0479312689408</v>
      </c>
      <c r="F19" s="11"/>
      <c r="G19" s="2">
        <f>SUM(G16:G18)-MIN(G16:G18)</f>
        <v>887.9554410220751</v>
      </c>
      <c r="H19" s="11"/>
      <c r="I19" s="2">
        <f>SUM(I16:I18)-MIN(I16:I18)</f>
        <v>904.4923343668047</v>
      </c>
      <c r="J19" s="11"/>
      <c r="K19" s="2">
        <f>SUM(K16:K18)-MIN(K16:K18)</f>
        <v>730.6020791897542</v>
      </c>
      <c r="L19" s="11"/>
      <c r="M19" s="2">
        <f>SUM(M16:M18)-MIN(M16:M18)</f>
        <v>950.8558990734235</v>
      </c>
      <c r="N19" s="12"/>
      <c r="O19" s="2">
        <f>SUM(O16:O17)-MIN(O16:O17)</f>
        <v>863.5611075373685</v>
      </c>
      <c r="P19" s="12"/>
      <c r="Q19" s="2">
        <f>SUM(Q16:Q18)-MIN(Q16:Q18)</f>
        <v>833.8766541536818</v>
      </c>
    </row>
    <row r="20" spans="1:17" ht="15.75">
      <c r="A20" s="10"/>
      <c r="B20" s="8"/>
      <c r="C20" s="5"/>
      <c r="D20" s="12">
        <v>4.37</v>
      </c>
      <c r="E20" s="2">
        <f>((SQRT(D20)-1.0935)/0.00208)</f>
        <v>479.30504617148426</v>
      </c>
      <c r="F20" s="12">
        <v>11.97</v>
      </c>
      <c r="G20" s="2">
        <f>(((75/(F20+0.24))-3.998)/0.0066)</f>
        <v>324.92517310699117</v>
      </c>
      <c r="H20" s="12">
        <v>7.93</v>
      </c>
      <c r="I20" s="2">
        <f>((SQRT(H20)-1.279)/0.00398)</f>
        <v>386.1873286597348</v>
      </c>
      <c r="J20" s="12">
        <v>1.25</v>
      </c>
      <c r="K20" s="2">
        <f>((SQRT(J20)-0.8807)/0.00068)</f>
        <v>349.0205716910218</v>
      </c>
      <c r="L20" s="12">
        <v>41.5</v>
      </c>
      <c r="M20" s="2">
        <f>((SQRT(L20)-1.4149)/0.01039)</f>
        <v>483.8449820368203</v>
      </c>
      <c r="N20" s="12">
        <v>43.29</v>
      </c>
      <c r="O20" s="5">
        <f>(((300/(N20+0.24))-3.998)/0.0033)</f>
        <v>876.9087149927948</v>
      </c>
      <c r="P20" s="12">
        <v>184</v>
      </c>
      <c r="Q20" s="5">
        <f>(((800/P20)-2.0232)/0.00647)</f>
        <v>359.2930582622135</v>
      </c>
    </row>
    <row r="21" spans="1:17" ht="15.75">
      <c r="A21" s="10"/>
      <c r="B21" s="8"/>
      <c r="C21" s="5"/>
      <c r="D21" s="12">
        <v>4.16</v>
      </c>
      <c r="E21" s="2">
        <f>((SQRT(D21)-1.0935)/0.00208)</f>
        <v>454.85952184476645</v>
      </c>
      <c r="F21" s="12">
        <v>11.62</v>
      </c>
      <c r="G21" s="2">
        <f>(((75/(F21+0.24))-3.998)/0.0066)</f>
        <v>352.3905156114263</v>
      </c>
      <c r="H21" s="12">
        <v>9.97</v>
      </c>
      <c r="I21" s="2">
        <f>((SQRT(H21)-1.279)/0.00398)</f>
        <v>471.9926333591429</v>
      </c>
      <c r="J21" s="12">
        <v>1.3</v>
      </c>
      <c r="K21" s="2">
        <f>((SQRT(J21)-0.8807)/0.00068)</f>
        <v>381.5815074987323</v>
      </c>
      <c r="L21" s="12">
        <v>32</v>
      </c>
      <c r="M21" s="2">
        <f>((SQRT(L21)-1.4149)/0.01039)</f>
        <v>408.2727862841559</v>
      </c>
      <c r="N21" s="12"/>
      <c r="O21" s="5">
        <v>0</v>
      </c>
      <c r="P21" s="12">
        <v>163</v>
      </c>
      <c r="Q21" s="5">
        <f>(((800/P21)-2.0232)/0.00647)</f>
        <v>445.8694683342657</v>
      </c>
    </row>
    <row r="22" spans="1:17" ht="15.75">
      <c r="A22" s="10"/>
      <c r="B22" s="8"/>
      <c r="C22" s="5"/>
      <c r="D22" s="12">
        <v>3.97</v>
      </c>
      <c r="E22" s="2">
        <f>((SQRT(D22)-1.0935)/0.00208)</f>
        <v>432.20475217169604</v>
      </c>
      <c r="F22" s="12">
        <v>11.16</v>
      </c>
      <c r="G22" s="2">
        <f>(((75/(F22+0.24))-3.998)/0.0066)</f>
        <v>391.0526315789473</v>
      </c>
      <c r="H22" s="12"/>
      <c r="I22" s="2">
        <v>0</v>
      </c>
      <c r="J22" s="12"/>
      <c r="K22" s="2">
        <v>0</v>
      </c>
      <c r="L22" s="12"/>
      <c r="M22" s="2">
        <v>0</v>
      </c>
      <c r="N22" s="12"/>
      <c r="O22" s="5">
        <v>0</v>
      </c>
      <c r="P22" s="12">
        <v>158</v>
      </c>
      <c r="Q22" s="5">
        <f>(((800/P22)-2.0232)/0.00647)</f>
        <v>469.87498288106747</v>
      </c>
    </row>
    <row r="23" spans="1:17" ht="15.75">
      <c r="A23" s="10" t="e">
        <f>RANK(C23,C4:C35,0)</f>
        <v>#DIV/0!</v>
      </c>
      <c r="B23" s="9" t="s">
        <v>42</v>
      </c>
      <c r="C23" s="5">
        <f>SUM(D23:Q23)</f>
        <v>5951.160690944361</v>
      </c>
      <c r="D23" s="11"/>
      <c r="E23" s="2">
        <f>SUM(E20:E22)-MIN(E20:E22)</f>
        <v>934.1645680162508</v>
      </c>
      <c r="F23" s="11"/>
      <c r="G23" s="2">
        <f>SUM(G20:G22)-MIN(G20:G22)</f>
        <v>743.4431471903736</v>
      </c>
      <c r="H23" s="11"/>
      <c r="I23" s="2">
        <f>SUM(I20:I22)-MIN(I20:I22)</f>
        <v>858.1799620188777</v>
      </c>
      <c r="J23" s="11"/>
      <c r="K23" s="2">
        <f>SUM(K20:K22)-MIN(K20:K22)</f>
        <v>730.6020791897541</v>
      </c>
      <c r="L23" s="11"/>
      <c r="M23" s="2">
        <f>SUM(M20:M22)-MIN(M20:M22)</f>
        <v>892.1177683209762</v>
      </c>
      <c r="N23" s="12"/>
      <c r="O23" s="2">
        <f>SUM(O20:O21)-MIN(O20:O21)</f>
        <v>876.9087149927948</v>
      </c>
      <c r="P23" s="12"/>
      <c r="Q23" s="2">
        <f>SUM(Q20:Q22)-MIN(Q20:Q22)</f>
        <v>915.7444512153334</v>
      </c>
    </row>
    <row r="24" spans="1:17" ht="15.75">
      <c r="A24" s="10"/>
      <c r="B24" s="8"/>
      <c r="C24" s="5"/>
      <c r="D24" s="12">
        <v>4.15</v>
      </c>
      <c r="E24" s="2">
        <f>((SQRT(D24)-1.0935)/0.00208)</f>
        <v>453.6802301665079</v>
      </c>
      <c r="F24" s="12">
        <v>11.41</v>
      </c>
      <c r="G24" s="2">
        <f>(((75/(F24+0.24))-3.998)/0.0066)</f>
        <v>369.6618545974768</v>
      </c>
      <c r="H24" s="12">
        <v>7</v>
      </c>
      <c r="I24" s="2">
        <f>((SQRT(H24)-1.279)/0.00398)</f>
        <v>343.4048520262791</v>
      </c>
      <c r="J24" s="12">
        <v>1.2</v>
      </c>
      <c r="K24" s="2">
        <f>((SQRT(J24)-0.8807)/0.00068)</f>
        <v>315.8016397210766</v>
      </c>
      <c r="L24" s="12">
        <v>26.5</v>
      </c>
      <c r="M24" s="2">
        <f>((SQRT(L24)-1.4149)/0.01039)</f>
        <v>359.27960254990376</v>
      </c>
      <c r="N24" s="12">
        <v>44.09</v>
      </c>
      <c r="O24" s="5">
        <f>(((300/(N24+0.24))-3.998)/0.0033)</f>
        <v>839.2200370499489</v>
      </c>
      <c r="P24" s="12">
        <v>200</v>
      </c>
      <c r="Q24" s="5">
        <f>(((800/P24)-2.0232)/0.00647)</f>
        <v>305.53323029366305</v>
      </c>
    </row>
    <row r="25" spans="1:17" ht="15.75">
      <c r="A25" s="10"/>
      <c r="B25" s="8"/>
      <c r="C25" s="5"/>
      <c r="D25" s="12">
        <v>3.45</v>
      </c>
      <c r="E25" s="2">
        <f>((SQRT(D25)-1.0935)/0.00208)</f>
        <v>367.26805870224575</v>
      </c>
      <c r="F25" s="12">
        <v>10.95</v>
      </c>
      <c r="G25" s="2">
        <f>(((75/(F25+0.24))-3.998)/0.0066)</f>
        <v>409.7595255504102</v>
      </c>
      <c r="H25" s="12">
        <v>7.98</v>
      </c>
      <c r="I25" s="2">
        <f>((SQRT(H25)-1.279)/0.00398)</f>
        <v>388.41441667465</v>
      </c>
      <c r="J25" s="12">
        <v>1.2</v>
      </c>
      <c r="K25" s="2">
        <f>((SQRT(J25)-0.8807)/0.00068)</f>
        <v>315.8016397210766</v>
      </c>
      <c r="L25" s="12">
        <v>37.5</v>
      </c>
      <c r="M25" s="2">
        <f>((SQRT(L25)-1.4149)/0.01039)</f>
        <v>453.20734908161165</v>
      </c>
      <c r="N25" s="12">
        <v>47.35</v>
      </c>
      <c r="O25" s="5">
        <f>(((300/(N25+0.24))-3.998)/0.0033)</f>
        <v>698.741013836622</v>
      </c>
      <c r="P25" s="12">
        <v>198</v>
      </c>
      <c r="Q25" s="5">
        <f>(((800/P25)-2.0232)/0.00647)</f>
        <v>311.77805879506036</v>
      </c>
    </row>
    <row r="26" spans="1:17" ht="15.75">
      <c r="A26" s="10"/>
      <c r="B26" s="8"/>
      <c r="C26" s="5"/>
      <c r="D26" s="12">
        <v>4.17</v>
      </c>
      <c r="E26" s="2">
        <f>((SQRT(D26)-1.0935)/0.00208)</f>
        <v>456.0373969549105</v>
      </c>
      <c r="F26" s="12"/>
      <c r="G26" s="2">
        <v>0</v>
      </c>
      <c r="H26" s="12">
        <v>8.19</v>
      </c>
      <c r="I26" s="2">
        <f>((SQRT(H26)-1.279)/0.00398)</f>
        <v>397.69286538965747</v>
      </c>
      <c r="J26" s="12">
        <v>1.25</v>
      </c>
      <c r="K26" s="2">
        <f>((SQRT(J26)-0.8807)/0.00068)</f>
        <v>349.0205716910218</v>
      </c>
      <c r="L26" s="12">
        <v>36.5</v>
      </c>
      <c r="M26" s="2">
        <f>((SQRT(L26)-1.4149)/0.01039)</f>
        <v>445.29576388809295</v>
      </c>
      <c r="N26" s="12"/>
      <c r="O26" s="5">
        <v>0</v>
      </c>
      <c r="P26" s="12">
        <v>179</v>
      </c>
      <c r="Q26" s="5">
        <f>(((800/P26)-2.0232)/0.00647)</f>
        <v>378.063947916037</v>
      </c>
    </row>
    <row r="27" spans="1:17" ht="15.75">
      <c r="A27" s="10" t="e">
        <f>RANK(C27,C4:C35,0)</f>
        <v>#DIV/0!</v>
      </c>
      <c r="B27" s="9" t="s">
        <v>48</v>
      </c>
      <c r="C27" s="5">
        <f>SUM(D27:Q27)</f>
        <v>5567.633657476462</v>
      </c>
      <c r="D27" s="11"/>
      <c r="E27" s="2">
        <f>SUM(E24:E26)-MIN(E24:E26)</f>
        <v>909.7176271214184</v>
      </c>
      <c r="F27" s="11"/>
      <c r="G27" s="2">
        <f>SUM(G24:G26)-MIN(G24:G26)</f>
        <v>779.421380147887</v>
      </c>
      <c r="H27" s="11"/>
      <c r="I27" s="2">
        <f>SUM(I24:I26)-MIN(I24:I26)</f>
        <v>786.1072820643076</v>
      </c>
      <c r="J27" s="11"/>
      <c r="K27" s="2">
        <f>SUM(K24:K26)-MIN(K24:K26)</f>
        <v>664.8222114120983</v>
      </c>
      <c r="L27" s="11"/>
      <c r="M27" s="2">
        <f>SUM(M24:M26)-MIN(M24:M26)</f>
        <v>898.5031129697047</v>
      </c>
      <c r="N27" s="12"/>
      <c r="O27" s="2">
        <f>SUM(O24:O25)-MIN(O24:O25)</f>
        <v>839.2200370499488</v>
      </c>
      <c r="P27" s="12"/>
      <c r="Q27" s="2">
        <f>SUM(Q24:Q26)-MIN(Q24:Q26)</f>
        <v>689.8420067110974</v>
      </c>
    </row>
    <row r="28" spans="1:17" ht="15.75">
      <c r="A28" s="10"/>
      <c r="B28" s="8"/>
      <c r="C28" s="5"/>
      <c r="D28" s="12">
        <v>3.2</v>
      </c>
      <c r="E28" s="2">
        <f>((SQRT(D28)-1.0935)/0.00208)</f>
        <v>334.304991346073</v>
      </c>
      <c r="F28" s="12">
        <v>11.15</v>
      </c>
      <c r="G28" s="2">
        <f>(((75/(F28+0.24))-3.998)/0.0066)</f>
        <v>391.9277941841594</v>
      </c>
      <c r="H28" s="12">
        <v>6.24</v>
      </c>
      <c r="I28" s="2">
        <f>((SQRT(H28)-1.279)/0.00398)</f>
        <v>306.2812058691858</v>
      </c>
      <c r="J28" s="12">
        <v>1.25</v>
      </c>
      <c r="K28" s="2">
        <f>((SQRT(J28)-0.8807)/0.00068)</f>
        <v>349.0205716910218</v>
      </c>
      <c r="L28" s="12">
        <v>23.5</v>
      </c>
      <c r="M28" s="2">
        <f>((SQRT(L28)-1.4149)/0.01039)</f>
        <v>330.3926715511385</v>
      </c>
      <c r="N28" s="12">
        <v>45.86</v>
      </c>
      <c r="O28" s="5">
        <f>(((300/(N28+0.24))-3.998)/0.0033)</f>
        <v>760.482482087688</v>
      </c>
      <c r="P28" s="12">
        <v>212</v>
      </c>
      <c r="Q28" s="5">
        <f>(((800/P28)-2.0232)/0.00647)</f>
        <v>270.53862529526697</v>
      </c>
    </row>
    <row r="29" spans="1:17" ht="15.75">
      <c r="A29" s="10"/>
      <c r="B29" s="8"/>
      <c r="C29" s="5"/>
      <c r="D29" s="12">
        <v>4.17</v>
      </c>
      <c r="E29" s="2">
        <f>((SQRT(D29)-1.0935)/0.00208)</f>
        <v>456.0373969549105</v>
      </c>
      <c r="F29" s="12">
        <v>11.94</v>
      </c>
      <c r="G29" s="2">
        <f>(((75/(F29+0.24))-3.998)/0.0066)</f>
        <v>327.21749514852957</v>
      </c>
      <c r="H29" s="12">
        <v>8.5</v>
      </c>
      <c r="I29" s="2">
        <f>((SQRT(H29)-1.279)/0.00398)</f>
        <v>411.17486116146995</v>
      </c>
      <c r="J29" s="12">
        <v>1.3</v>
      </c>
      <c r="K29" s="2">
        <f>((SQRT(J29)-0.8807)/0.00068)</f>
        <v>381.5815074987323</v>
      </c>
      <c r="L29" s="12">
        <v>24</v>
      </c>
      <c r="M29" s="2">
        <f>((SQRT(L29)-1.4149)/0.01039)</f>
        <v>335.3300756079264</v>
      </c>
      <c r="N29" s="12"/>
      <c r="O29" s="5">
        <v>0</v>
      </c>
      <c r="P29" s="12">
        <v>204</v>
      </c>
      <c r="Q29" s="5">
        <f>(((800/P29)-2.0232)/0.00647)</f>
        <v>293.4109161438918</v>
      </c>
    </row>
    <row r="30" spans="1:17" ht="15.75">
      <c r="A30" s="10"/>
      <c r="B30" s="8"/>
      <c r="C30" s="5"/>
      <c r="D30" s="12"/>
      <c r="E30" s="2">
        <v>0</v>
      </c>
      <c r="F30" s="12"/>
      <c r="G30" s="2">
        <v>0</v>
      </c>
      <c r="H30" s="12"/>
      <c r="I30" s="2">
        <v>0</v>
      </c>
      <c r="J30" s="12"/>
      <c r="K30" s="2">
        <v>0</v>
      </c>
      <c r="L30" s="12"/>
      <c r="M30" s="2">
        <f>((SQRT(L30)-1.4149)/0.01039)</f>
        <v>-136.17901828681426</v>
      </c>
      <c r="N30" s="12"/>
      <c r="O30" s="5">
        <v>0</v>
      </c>
      <c r="P30" s="12">
        <v>230</v>
      </c>
      <c r="Q30" s="5">
        <f>(((800/P30)-2.0232)/0.00647)</f>
        <v>224.89348834083728</v>
      </c>
    </row>
    <row r="31" spans="1:17" ht="15.75">
      <c r="A31" s="10" t="e">
        <f>RANK(C31,C4:C35,0)</f>
        <v>#DIV/0!</v>
      </c>
      <c r="B31" s="9" t="s">
        <v>38</v>
      </c>
      <c r="C31" s="5">
        <f>SUM(D31:Q31)</f>
        <v>4947.700594539993</v>
      </c>
      <c r="D31" s="11"/>
      <c r="E31" s="2">
        <f>SUM(E28:E30)-MIN(E28:E30)</f>
        <v>790.3423883009834</v>
      </c>
      <c r="F31" s="11"/>
      <c r="G31" s="2">
        <f>SUM(G28:G30)-MIN(G28:G30)</f>
        <v>719.1452893326889</v>
      </c>
      <c r="H31" s="11"/>
      <c r="I31" s="2">
        <f>SUM(I28:I30)-MIN(I28:I30)</f>
        <v>717.4560670306557</v>
      </c>
      <c r="J31" s="11"/>
      <c r="K31" s="2">
        <f>SUM(K28:K30)-MIN(K28:K30)</f>
        <v>730.6020791897541</v>
      </c>
      <c r="L31" s="11"/>
      <c r="M31" s="2">
        <f>SUM(M28:M30)-MIN(M28:M30)</f>
        <v>665.722747159065</v>
      </c>
      <c r="N31" s="12"/>
      <c r="O31" s="2">
        <f>SUM(O28:O29)-MIN(O28:O29)</f>
        <v>760.482482087688</v>
      </c>
      <c r="P31" s="12"/>
      <c r="Q31" s="2">
        <f>SUM(Q28:Q30)-MIN(Q28:Q30)</f>
        <v>563.9495414391588</v>
      </c>
    </row>
    <row r="32" spans="1:17" ht="15.75">
      <c r="A32" s="10"/>
      <c r="B32" s="8"/>
      <c r="C32" s="5"/>
      <c r="D32" s="12"/>
      <c r="E32" s="2">
        <f>((SQRT(D32)-1.0935)/0.00208)</f>
        <v>-525.7211538461538</v>
      </c>
      <c r="F32" s="12"/>
      <c r="G32" s="2">
        <f>(((75/(F32+0.24))-3.998)/0.0066)</f>
        <v>46742.72727272727</v>
      </c>
      <c r="H32" s="12"/>
      <c r="I32" s="2">
        <f>((SQRT(H32)-1.279)/0.00398)</f>
        <v>-321.35678391959794</v>
      </c>
      <c r="J32" s="12"/>
      <c r="K32" s="2">
        <f>((SQRT(J32)-0.8807)/0.00068)</f>
        <v>-1295.1470588235293</v>
      </c>
      <c r="L32" s="12"/>
      <c r="M32" s="2">
        <f>((SQRT(L32)-1.4149)/0.01039)</f>
        <v>-136.17901828681426</v>
      </c>
      <c r="N32" s="12"/>
      <c r="O32" s="5">
        <f>(((300/(N32+0.24))-3.998)/0.0033)</f>
        <v>377576.36363636365</v>
      </c>
      <c r="P32" s="12"/>
      <c r="Q32" s="5" t="e">
        <f>(((800/P32)-2.0232)/0.00647)</f>
        <v>#DIV/0!</v>
      </c>
    </row>
    <row r="33" spans="1:17" ht="15.75">
      <c r="A33" s="10"/>
      <c r="B33" s="8"/>
      <c r="C33" s="5"/>
      <c r="D33" s="12"/>
      <c r="E33" s="2">
        <f>((SQRT(D33)-1.0935)/0.00208)</f>
        <v>-525.7211538461538</v>
      </c>
      <c r="F33" s="12"/>
      <c r="G33" s="2">
        <f>(((75/(F33+0.24))-3.998)/0.0066)</f>
        <v>46742.72727272727</v>
      </c>
      <c r="H33" s="12"/>
      <c r="I33" s="2">
        <f>((SQRT(H33)-1.279)/0.00398)</f>
        <v>-321.35678391959794</v>
      </c>
      <c r="J33" s="12"/>
      <c r="K33" s="2">
        <f>((SQRT(J33)-0.8807)/0.00068)</f>
        <v>-1295.1470588235293</v>
      </c>
      <c r="L33" s="12"/>
      <c r="M33" s="2">
        <f>((SQRT(L33)-1.4149)/0.01039)</f>
        <v>-136.17901828681426</v>
      </c>
      <c r="N33" s="12"/>
      <c r="O33" s="5">
        <f>(((300/(N33+0.24))-3.998)/0.0033)</f>
        <v>377576.36363636365</v>
      </c>
      <c r="P33" s="12"/>
      <c r="Q33" s="5" t="e">
        <f>(((800/P33)-2.0232)/0.00647)</f>
        <v>#DIV/0!</v>
      </c>
    </row>
    <row r="34" spans="1:17" ht="15.75">
      <c r="A34" s="10"/>
      <c r="B34" s="8"/>
      <c r="C34" s="5"/>
      <c r="D34" s="12"/>
      <c r="E34" s="2">
        <f>((SQRT(D34)-1.0935)/0.00208)</f>
        <v>-525.7211538461538</v>
      </c>
      <c r="F34" s="12"/>
      <c r="G34" s="2">
        <f>(((75/(F34+0.24))-3.998)/0.0066)</f>
        <v>46742.72727272727</v>
      </c>
      <c r="H34" s="12"/>
      <c r="I34" s="2">
        <f>((SQRT(H34)-1.279)/0.00398)</f>
        <v>-321.35678391959794</v>
      </c>
      <c r="J34" s="12"/>
      <c r="K34" s="2">
        <f>((SQRT(J34)-0.8807)/0.00068)</f>
        <v>-1295.1470588235293</v>
      </c>
      <c r="L34" s="12"/>
      <c r="M34" s="2">
        <f>((SQRT(L34)-1.4149)/0.01039)</f>
        <v>-136.17901828681426</v>
      </c>
      <c r="N34" s="12"/>
      <c r="O34" s="5">
        <v>0</v>
      </c>
      <c r="P34" s="12"/>
      <c r="Q34" s="5" t="e">
        <f>(((800/P34)-2.0232)/0.00647)</f>
        <v>#DIV/0!</v>
      </c>
    </row>
    <row r="35" spans="1:17" ht="15.75">
      <c r="A35" s="10" t="e">
        <f>RANK(C35,C4:C35,0)</f>
        <v>#DIV/0!</v>
      </c>
      <c r="B35" s="9"/>
      <c r="C35" s="5" t="e">
        <f>SUM(D35:Q35)</f>
        <v>#DIV/0!</v>
      </c>
      <c r="D35" s="11"/>
      <c r="E35" s="2">
        <f>SUM(E32:E34)-MIN(E32:E34)</f>
        <v>-1051.4423076923076</v>
      </c>
      <c r="F35" s="11"/>
      <c r="G35" s="2">
        <f>SUM(G32:G34)-MIN(G32:G34)</f>
        <v>93485.45454545456</v>
      </c>
      <c r="H35" s="11"/>
      <c r="I35" s="2">
        <f>SUM(I32:I34)-MIN(I32:I34)</f>
        <v>-642.7135678391958</v>
      </c>
      <c r="J35" s="11"/>
      <c r="K35" s="2">
        <f>SUM(K32:K34)-MIN(K32:K34)</f>
        <v>-2590.2941176470586</v>
      </c>
      <c r="L35" s="11"/>
      <c r="M35" s="2">
        <f>SUM(M32:M34)-MIN(M32:M34)</f>
        <v>-272.3580365736285</v>
      </c>
      <c r="N35" s="12"/>
      <c r="O35" s="2">
        <f>SUM(O32:O33)-MIN(O32:O33)</f>
        <v>377576.36363636365</v>
      </c>
      <c r="P35" s="12"/>
      <c r="Q35" s="2" t="e">
        <f>SUM(Q32:Q34)-MIN(Q32:Q34)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PageLayoutView="0" workbookViewId="0" topLeftCell="A1">
      <selection activeCell="P13" sqref="P13"/>
    </sheetView>
  </sheetViews>
  <sheetFormatPr defaultColWidth="11.421875" defaultRowHeight="15"/>
  <cols>
    <col min="1" max="1" width="8.8515625" style="0" bestFit="1" customWidth="1"/>
    <col min="2" max="2" width="28.8515625" style="0" bestFit="1" customWidth="1"/>
    <col min="3" max="3" width="18.7109375" style="0" bestFit="1" customWidth="1"/>
    <col min="4" max="4" width="9.140625" style="0" customWidth="1"/>
    <col min="5" max="5" width="9.57421875" style="0" bestFit="1" customWidth="1"/>
    <col min="6" max="6" width="8.421875" style="0" customWidth="1"/>
    <col min="7" max="7" width="10.28125" style="0" bestFit="1" customWidth="1"/>
    <col min="8" max="8" width="9.8515625" style="0" customWidth="1"/>
    <col min="9" max="9" width="9.57421875" style="0" bestFit="1" customWidth="1"/>
    <col min="10" max="10" width="8.8515625" style="0" customWidth="1"/>
    <col min="11" max="11" width="9.28125" style="0" customWidth="1"/>
    <col min="12" max="12" width="9.00390625" style="0" bestFit="1" customWidth="1"/>
    <col min="13" max="13" width="12.140625" style="0" bestFit="1" customWidth="1"/>
    <col min="14" max="14" width="8.28125" style="0" bestFit="1" customWidth="1"/>
    <col min="15" max="15" width="8.8515625" style="0" bestFit="1" customWidth="1"/>
  </cols>
  <sheetData>
    <row r="1" spans="1:15" ht="20.25">
      <c r="A1" s="16"/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21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8.22</v>
      </c>
      <c r="E4" s="2">
        <f>(((50/(D4+0.24))-3.648)/0.0066)</f>
        <v>342.75234615660133</v>
      </c>
      <c r="F4" s="12">
        <v>1.23</v>
      </c>
      <c r="G4" s="2">
        <f>((SQRT(F4)-0.8807)/0.00068)</f>
        <v>335.81419211903176</v>
      </c>
      <c r="H4" s="12">
        <v>31.5</v>
      </c>
      <c r="I4" s="2">
        <f>((SQRT(H4)-2.0232)/0.00874)</f>
        <v>410.67346454930345</v>
      </c>
      <c r="J4" s="12">
        <v>4.46</v>
      </c>
      <c r="K4" s="2">
        <f>((SQRT(J4)-1.0935)/0.00208)</f>
        <v>489.6015424010998</v>
      </c>
      <c r="L4" s="12">
        <v>30.9</v>
      </c>
      <c r="M4" s="5">
        <f>(((200/(L4+0.24))-3.648)/0.0033)</f>
        <v>840.7901753566496</v>
      </c>
      <c r="N4" s="12">
        <v>179</v>
      </c>
      <c r="O4" s="5">
        <f aca="true" t="shared" si="0" ref="O4:O18">(((800/N4)-2.0232)/0.00647)</f>
        <v>378.063947916037</v>
      </c>
    </row>
    <row r="5" spans="1:15" ht="15.75">
      <c r="A5" s="10"/>
      <c r="B5" s="2"/>
      <c r="C5" s="5"/>
      <c r="D5" s="12">
        <v>7.77</v>
      </c>
      <c r="E5" s="2">
        <f>(((50/(D5+0.24))-3.648)/0.0066)</f>
        <v>393.0601899141225</v>
      </c>
      <c r="F5" s="12">
        <v>1.15</v>
      </c>
      <c r="G5" s="2">
        <f>((SQRT(F5)-0.8807)/0.00068)</f>
        <v>281.88313158288355</v>
      </c>
      <c r="H5" s="12">
        <v>31.5</v>
      </c>
      <c r="I5" s="2">
        <f>((SQRT(H5)-2.0232)/0.00874)</f>
        <v>410.67346454930345</v>
      </c>
      <c r="J5" s="12">
        <v>3.94</v>
      </c>
      <c r="K5" s="2">
        <f>((SQRT(J5)-1.0935)/0.00208)</f>
        <v>428.57852121534665</v>
      </c>
      <c r="L5" s="12"/>
      <c r="M5" s="5">
        <v>0</v>
      </c>
      <c r="N5" s="12">
        <v>169</v>
      </c>
      <c r="O5" s="5">
        <f t="shared" si="0"/>
        <v>418.9378378131202</v>
      </c>
    </row>
    <row r="6" spans="1:15" ht="15.75">
      <c r="A6" s="10"/>
      <c r="B6" s="2"/>
      <c r="C6" s="5"/>
      <c r="D6" s="12">
        <v>8.52</v>
      </c>
      <c r="E6" s="2">
        <f>(((50/(D6+0.24))-3.648)/0.0066)</f>
        <v>312.08523592085237</v>
      </c>
      <c r="F6" s="12">
        <v>1.2</v>
      </c>
      <c r="G6" s="2">
        <f>((SQRT(F6)-0.8807)/0.00068)</f>
        <v>315.8016397210766</v>
      </c>
      <c r="H6" s="12">
        <v>28.5</v>
      </c>
      <c r="I6" s="2">
        <f>((SQRT(H6)-2.0232)/0.00874)</f>
        <v>379.32941945259216</v>
      </c>
      <c r="J6" s="12"/>
      <c r="K6" s="2">
        <v>0</v>
      </c>
      <c r="L6" s="12"/>
      <c r="M6" s="5">
        <v>0</v>
      </c>
      <c r="N6" s="12">
        <v>167</v>
      </c>
      <c r="O6" s="5">
        <f t="shared" si="0"/>
        <v>427.70002498866245</v>
      </c>
    </row>
    <row r="7" spans="1:15" ht="15.75">
      <c r="A7" s="10" t="e">
        <f>RANK(C7,C4:C23,0)</f>
        <v>#DIV/0!</v>
      </c>
      <c r="B7" s="6" t="s">
        <v>44</v>
      </c>
      <c r="C7" s="5">
        <f>SUM(D7:O7)</f>
        <v>4814.383398784317</v>
      </c>
      <c r="D7" s="11"/>
      <c r="E7" s="2">
        <f>SUM(E4:E6)-MIN(E4:E6)</f>
        <v>735.8125360707237</v>
      </c>
      <c r="F7" s="11"/>
      <c r="G7" s="2">
        <f>SUM(G4:G6)-MIN(G4:G6)</f>
        <v>651.6158318401083</v>
      </c>
      <c r="H7" s="11"/>
      <c r="I7" s="2">
        <f>SUM(I4:I6)-MIN(I4:I6)</f>
        <v>821.3469290986068</v>
      </c>
      <c r="J7" s="11"/>
      <c r="K7" s="2">
        <f>SUM(K4:K6)-MIN(K4:K6)</f>
        <v>918.1800636164464</v>
      </c>
      <c r="L7" s="11"/>
      <c r="M7" s="2">
        <f>SUM(M4:M5)-MIN(M4:M5)</f>
        <v>840.7901753566496</v>
      </c>
      <c r="N7" s="12"/>
      <c r="O7" s="2">
        <f>SUM(O4:O6)-MIN(O4:O6)</f>
        <v>846.6378628017826</v>
      </c>
    </row>
    <row r="8" spans="1:15" ht="15.75">
      <c r="A8" s="10"/>
      <c r="B8" s="2"/>
      <c r="C8" s="5"/>
      <c r="D8" s="12">
        <v>8.29</v>
      </c>
      <c r="E8" s="2">
        <f>(((50/(D8+0.24))-3.648)/0.0066)</f>
        <v>335.4037443603681</v>
      </c>
      <c r="F8" s="12">
        <v>1.1</v>
      </c>
      <c r="G8" s="2">
        <f>((SQRT(F8)-0.8807)/0.00068)</f>
        <v>247.21889436786998</v>
      </c>
      <c r="H8" s="12">
        <v>24.5</v>
      </c>
      <c r="I8" s="2">
        <f>((SQRT(H8)-2.0232)/0.00874)</f>
        <v>334.8452480899122</v>
      </c>
      <c r="J8" s="12">
        <v>3.96</v>
      </c>
      <c r="K8" s="2">
        <f>((SQRT(J8)-1.0935)/0.00208)</f>
        <v>430.99753567944236</v>
      </c>
      <c r="L8" s="12">
        <v>32.4</v>
      </c>
      <c r="M8" s="5">
        <f>(((200/(L8+0.24))-3.648)/0.0033)</f>
        <v>751.3487819370171</v>
      </c>
      <c r="N8" s="12">
        <v>183</v>
      </c>
      <c r="O8" s="5">
        <f t="shared" si="0"/>
        <v>362.9651776589725</v>
      </c>
    </row>
    <row r="9" spans="1:15" ht="15.75">
      <c r="A9" s="10"/>
      <c r="B9" s="2"/>
      <c r="C9" s="5"/>
      <c r="D9" s="12">
        <v>8.29</v>
      </c>
      <c r="E9" s="2">
        <f>(((50/(D9+0.24))-3.648)/0.0066)</f>
        <v>335.4037443603681</v>
      </c>
      <c r="F9" s="12">
        <v>1.05</v>
      </c>
      <c r="G9" s="2">
        <f>((SQRT(F9)-0.8807)/0.00068)</f>
        <v>211.75746558229395</v>
      </c>
      <c r="H9" s="12">
        <v>32</v>
      </c>
      <c r="I9" s="2">
        <f>((SQRT(H9)-2.0232)/0.00874)</f>
        <v>415.749914129563</v>
      </c>
      <c r="J9" s="12">
        <v>3.8</v>
      </c>
      <c r="K9" s="2">
        <f>((SQRT(J9)-1.0935)/0.00208)</f>
        <v>411.470610077785</v>
      </c>
      <c r="L9" s="12"/>
      <c r="M9" s="5">
        <v>0</v>
      </c>
      <c r="N9" s="12">
        <v>192</v>
      </c>
      <c r="O9" s="5">
        <f t="shared" si="0"/>
        <v>331.29314786192685</v>
      </c>
    </row>
    <row r="10" spans="1:15" ht="15.75">
      <c r="A10" s="10"/>
      <c r="B10" s="2"/>
      <c r="C10" s="5"/>
      <c r="D10" s="12">
        <v>8.57</v>
      </c>
      <c r="E10" s="2">
        <f>(((50/(D10+0.24))-3.648)/0.0066)</f>
        <v>307.1771059058233</v>
      </c>
      <c r="F10" s="12">
        <v>1.05</v>
      </c>
      <c r="G10" s="2">
        <f>((SQRT(F10)-0.8807)/0.00068)</f>
        <v>211.75746558229395</v>
      </c>
      <c r="H10" s="12">
        <v>25</v>
      </c>
      <c r="I10" s="2">
        <f>((SQRT(H10)-2.0232)/0.00874)</f>
        <v>340.5949656750572</v>
      </c>
      <c r="J10" s="12">
        <v>3.62</v>
      </c>
      <c r="K10" s="2">
        <f>((SQRT(J10)-1.0935)/0.00208)</f>
        <v>389.00469184809856</v>
      </c>
      <c r="L10" s="12"/>
      <c r="M10" s="5">
        <v>0</v>
      </c>
      <c r="N10" s="12"/>
      <c r="O10" s="5">
        <v>0</v>
      </c>
    </row>
    <row r="11" spans="1:15" ht="15.75">
      <c r="A11" s="10" t="e">
        <f>RANK(C11,C4:C23,0)</f>
        <v>#DIV/0!</v>
      </c>
      <c r="B11" s="6" t="s">
        <v>43</v>
      </c>
      <c r="C11" s="5">
        <f>SUM(D11:O11)</f>
        <v>4174.203981690664</v>
      </c>
      <c r="D11" s="11"/>
      <c r="E11" s="2">
        <f>SUM(E8:E10)-MIN(E8:E10)</f>
        <v>670.8074887207362</v>
      </c>
      <c r="F11" s="11"/>
      <c r="G11" s="2">
        <f>SUM(G8:G10)-MIN(G8:G10)</f>
        <v>458.97635995016384</v>
      </c>
      <c r="H11" s="11"/>
      <c r="I11" s="2">
        <f>SUM(I8:I10)-MIN(I8:I10)</f>
        <v>756.3448798046202</v>
      </c>
      <c r="J11" s="11"/>
      <c r="K11" s="2">
        <f>SUM(K8:K10)-MIN(K8:K10)</f>
        <v>842.4681457572273</v>
      </c>
      <c r="L11" s="11"/>
      <c r="M11" s="2">
        <f>SUM(M8:M9)-MIN(M8:M9)</f>
        <v>751.3487819370171</v>
      </c>
      <c r="N11" s="12"/>
      <c r="O11" s="2">
        <f>SUM(O8:O10)-MIN(O8:O10)</f>
        <v>694.2583255208993</v>
      </c>
    </row>
    <row r="12" spans="1:15" ht="15.75">
      <c r="A12" s="10"/>
      <c r="B12" s="2"/>
      <c r="C12" s="5"/>
      <c r="D12" s="12">
        <v>8.47</v>
      </c>
      <c r="E12" s="2">
        <f>(((50/(D12+0.24))-3.648)/0.0066)</f>
        <v>317.04971645270143</v>
      </c>
      <c r="F12" s="12">
        <v>1.1</v>
      </c>
      <c r="G12" s="2">
        <f>((SQRT(F12)-0.8807)/0.00068)</f>
        <v>247.21889436786998</v>
      </c>
      <c r="H12" s="12">
        <v>26.5</v>
      </c>
      <c r="I12" s="2">
        <f>((SQRT(H12)-2.0232)/0.00874)</f>
        <v>357.5074451365561</v>
      </c>
      <c r="J12" s="12">
        <v>4.4</v>
      </c>
      <c r="K12" s="2">
        <f>((SQRT(J12)-1.0935)/0.00208)</f>
        <v>482.7488924712997</v>
      </c>
      <c r="L12" s="12">
        <v>29.85</v>
      </c>
      <c r="M12" s="5">
        <f>(((200/(L12+0.24))-3.648)/0.0033)</f>
        <v>908.7049961227428</v>
      </c>
      <c r="N12" s="12">
        <v>219</v>
      </c>
      <c r="O12" s="5">
        <f t="shared" si="0"/>
        <v>251.89614165837403</v>
      </c>
    </row>
    <row r="13" spans="1:15" ht="15.75">
      <c r="A13" s="10"/>
      <c r="B13" s="2"/>
      <c r="C13" s="5"/>
      <c r="D13" s="12">
        <v>8.26</v>
      </c>
      <c r="E13" s="2">
        <f>(((50/(D13+0.24))-3.648)/0.0066)</f>
        <v>338.5383244206774</v>
      </c>
      <c r="F13" s="12">
        <v>1.15</v>
      </c>
      <c r="G13" s="2">
        <f>((SQRT(F13)-0.8807)/0.00068)</f>
        <v>281.88313158288355</v>
      </c>
      <c r="H13" s="12">
        <v>31</v>
      </c>
      <c r="I13" s="2">
        <f>((SQRT(H13)-2.0232)/0.00874)</f>
        <v>405.5565632528629</v>
      </c>
      <c r="J13" s="12">
        <v>3.77</v>
      </c>
      <c r="K13" s="2">
        <f>((SQRT(J13)-1.0935)/0.00208)</f>
        <v>407.7638384109423</v>
      </c>
      <c r="L13" s="12"/>
      <c r="M13" s="5">
        <v>0</v>
      </c>
      <c r="N13" s="12">
        <v>238</v>
      </c>
      <c r="O13" s="5">
        <f t="shared" si="0"/>
        <v>206.8229579312405</v>
      </c>
    </row>
    <row r="14" spans="1:15" ht="15.75">
      <c r="A14" s="10"/>
      <c r="B14" s="2"/>
      <c r="C14" s="5"/>
      <c r="D14" s="12">
        <v>7.86</v>
      </c>
      <c r="E14" s="2">
        <f>(((50/(D14+0.24))-3.648)/0.0066)</f>
        <v>382.55144032921805</v>
      </c>
      <c r="F14" s="12">
        <v>1.2</v>
      </c>
      <c r="G14" s="2">
        <f>((SQRT(F14)-0.8807)/0.00068)</f>
        <v>315.8016397210766</v>
      </c>
      <c r="H14" s="12">
        <v>31</v>
      </c>
      <c r="I14" s="2">
        <f>((SQRT(H14)-2.0232)/0.00874)</f>
        <v>405.5565632528629</v>
      </c>
      <c r="J14" s="12">
        <v>3.05</v>
      </c>
      <c r="K14" s="2">
        <f>((SQRT(J14)-1.0935)/0.00208)</f>
        <v>313.90621137370107</v>
      </c>
      <c r="L14" s="12"/>
      <c r="M14" s="5">
        <v>0</v>
      </c>
      <c r="N14" s="12">
        <v>217</v>
      </c>
      <c r="O14" s="5">
        <f t="shared" si="0"/>
        <v>257.09983689342516</v>
      </c>
    </row>
    <row r="15" spans="1:15" ht="15.75">
      <c r="A15" s="10" t="e">
        <f>RANK(C15,C4:C23,0)</f>
        <v>#DIV/0!</v>
      </c>
      <c r="B15" s="6" t="s">
        <v>38</v>
      </c>
      <c r="C15" s="5">
        <f>SUM(D15:O15)</f>
        <v>4438.101368116366</v>
      </c>
      <c r="D15" s="11"/>
      <c r="E15" s="2">
        <f>SUM(E12:E14)-MIN(E12:E14)</f>
        <v>721.0897647498955</v>
      </c>
      <c r="F15" s="11"/>
      <c r="G15" s="2">
        <f>SUM(G12:G14)-MIN(G12:G14)</f>
        <v>597.6847713039601</v>
      </c>
      <c r="H15" s="11"/>
      <c r="I15" s="2">
        <f>SUM(I12:I14)-MIN(I12:I14)</f>
        <v>811.1131265057259</v>
      </c>
      <c r="J15" s="11"/>
      <c r="K15" s="2">
        <f>SUM(K12:K14)-MIN(K12:K14)</f>
        <v>890.5127308822421</v>
      </c>
      <c r="L15" s="11"/>
      <c r="M15" s="2">
        <f>SUM(M12:M13)-MIN(M12:M13)</f>
        <v>908.7049961227428</v>
      </c>
      <c r="N15" s="12"/>
      <c r="O15" s="2">
        <f>SUM(O12:O14)-MIN(O12:O14)</f>
        <v>508.9959785517992</v>
      </c>
    </row>
    <row r="16" spans="1:15" ht="15.75">
      <c r="A16" s="10"/>
      <c r="B16" s="2"/>
      <c r="C16" s="5"/>
      <c r="D16" s="12">
        <v>8.3</v>
      </c>
      <c r="E16" s="2">
        <f>(((50/(D16+0.24))-3.648)/0.0066)</f>
        <v>334.3637782982044</v>
      </c>
      <c r="F16" s="12">
        <v>1.15</v>
      </c>
      <c r="G16" s="2">
        <f>((SQRT(F16)-0.8807)/0.00068)</f>
        <v>281.88313158288355</v>
      </c>
      <c r="H16" s="12">
        <v>21</v>
      </c>
      <c r="I16" s="2">
        <f>((SQRT(H16)-2.0232)/0.00874)</f>
        <v>292.83474770661786</v>
      </c>
      <c r="J16" s="12">
        <v>3.92</v>
      </c>
      <c r="K16" s="2">
        <f>((SQRT(J16)-1.0935)/0.00208)</f>
        <v>426.1533592895833</v>
      </c>
      <c r="L16" s="12">
        <v>33.1</v>
      </c>
      <c r="M16" s="5">
        <f>(((200/(L16+0.24))-3.648)/0.0033)</f>
        <v>712.3637090763663</v>
      </c>
      <c r="N16" s="12">
        <v>181</v>
      </c>
      <c r="O16" s="5">
        <f t="shared" si="0"/>
        <v>370.43114416730003</v>
      </c>
    </row>
    <row r="17" spans="1:15" ht="15.75">
      <c r="A17" s="10"/>
      <c r="B17" s="2"/>
      <c r="C17" s="5"/>
      <c r="D17" s="12">
        <v>8.1</v>
      </c>
      <c r="E17" s="2">
        <f>(((50/(D17+0.24))-3.648)/0.0066)</f>
        <v>355.63694498946296</v>
      </c>
      <c r="F17" s="12">
        <v>1.15</v>
      </c>
      <c r="G17" s="2">
        <f>((SQRT(F17)-0.8807)/0.00068)</f>
        <v>281.88313158288355</v>
      </c>
      <c r="H17" s="12">
        <v>25.5</v>
      </c>
      <c r="I17" s="2">
        <f>((SQRT(H17)-2.0232)/0.00874)</f>
        <v>346.28746786968406</v>
      </c>
      <c r="J17" s="12">
        <v>3.89</v>
      </c>
      <c r="K17" s="2">
        <f>((SQRT(J17)-1.0935)/0.00208)</f>
        <v>422.50398669788564</v>
      </c>
      <c r="L17" s="12"/>
      <c r="M17" s="5">
        <v>0</v>
      </c>
      <c r="N17" s="12">
        <v>175</v>
      </c>
      <c r="O17" s="5">
        <f t="shared" si="0"/>
        <v>393.8529476705674</v>
      </c>
    </row>
    <row r="18" spans="1:15" ht="15.75">
      <c r="A18" s="10"/>
      <c r="B18" s="2"/>
      <c r="C18" s="5"/>
      <c r="D18" s="12">
        <v>7.91</v>
      </c>
      <c r="E18" s="2">
        <f>(((50/(D18+0.24))-3.648)/0.0066)</f>
        <v>376.8135341141476</v>
      </c>
      <c r="F18" s="12">
        <v>1.15</v>
      </c>
      <c r="G18" s="2">
        <f>((SQRT(F18)-0.8807)/0.00068)</f>
        <v>281.88313158288355</v>
      </c>
      <c r="H18" s="12">
        <v>28.5</v>
      </c>
      <c r="I18" s="2">
        <f>((SQRT(H18)-2.0232)/0.00874)</f>
        <v>379.32941945259216</v>
      </c>
      <c r="J18" s="12">
        <v>3.36</v>
      </c>
      <c r="K18" s="2">
        <f>((SQRT(J18)-1.0935)/0.00208)</f>
        <v>355.54340287612314</v>
      </c>
      <c r="L18" s="12"/>
      <c r="M18" s="5">
        <v>0</v>
      </c>
      <c r="N18" s="12">
        <v>178</v>
      </c>
      <c r="O18" s="5">
        <f t="shared" si="0"/>
        <v>381.9446711703107</v>
      </c>
    </row>
    <row r="19" spans="1:15" ht="15.75">
      <c r="A19" s="10" t="e">
        <f>RANK(C19,C4:C23,0)</f>
        <v>#DIV/0!</v>
      </c>
      <c r="B19" s="6" t="s">
        <v>40</v>
      </c>
      <c r="C19" s="5">
        <f>SUM(D19:O19)</f>
        <v>4358.6523034963675</v>
      </c>
      <c r="D19" s="11"/>
      <c r="E19" s="2">
        <f>SUM(E16:E18)-MIN(E16:E18)</f>
        <v>732.4504791036106</v>
      </c>
      <c r="F19" s="11"/>
      <c r="G19" s="2">
        <f>SUM(G16:G18)-MIN(G16:G18)</f>
        <v>563.766263165767</v>
      </c>
      <c r="H19" s="11"/>
      <c r="I19" s="2">
        <f>SUM(I16:I18)-MIN(I16:I18)</f>
        <v>725.6168873222762</v>
      </c>
      <c r="J19" s="11"/>
      <c r="K19" s="2">
        <f>SUM(K16:K18)-MIN(K16:K18)</f>
        <v>848.657345987469</v>
      </c>
      <c r="L19" s="11"/>
      <c r="M19" s="2">
        <f>SUM(M16:M17)-MIN(M16:M17)</f>
        <v>712.3637090763663</v>
      </c>
      <c r="N19" s="12"/>
      <c r="O19" s="2">
        <f>SUM(O16:O18)-MIN(O16:O18)</f>
        <v>775.7976188408782</v>
      </c>
    </row>
    <row r="20" spans="1:15" ht="15.75">
      <c r="A20" s="10"/>
      <c r="B20" s="2"/>
      <c r="C20" s="5"/>
      <c r="D20" s="12"/>
      <c r="E20" s="2">
        <f>(((50/(D20+0.24))-3.648)/0.0066)</f>
        <v>31012.929292929297</v>
      </c>
      <c r="F20" s="12"/>
      <c r="G20" s="2">
        <f>((SQRT(F20)-0.8807)/0.00068)</f>
        <v>-1295.1470588235293</v>
      </c>
      <c r="H20" s="12"/>
      <c r="I20" s="2">
        <f>((SQRT(H20)-2.0232)/0.00874)</f>
        <v>-231.48741418764305</v>
      </c>
      <c r="J20" s="12"/>
      <c r="K20" s="2">
        <f>((SQRT(J20)-1.0935)/0.00208)</f>
        <v>-525.7211538461538</v>
      </c>
      <c r="L20" s="12"/>
      <c r="M20" s="5">
        <f>(((200/(L20+0.24))-3.648)/0.0033)</f>
        <v>251419.797979798</v>
      </c>
      <c r="N20" s="12"/>
      <c r="O20" s="5" t="e">
        <f>(((800/N20)-2.0232)/0.00647)</f>
        <v>#DIV/0!</v>
      </c>
    </row>
    <row r="21" spans="1:15" ht="15.75">
      <c r="A21" s="10"/>
      <c r="B21" s="2"/>
      <c r="C21" s="5"/>
      <c r="D21" s="12"/>
      <c r="E21" s="2">
        <f>(((50/(D21+0.24))-3.648)/0.0066)</f>
        <v>31012.929292929297</v>
      </c>
      <c r="F21" s="12"/>
      <c r="G21" s="2">
        <f>((SQRT(F21)-0.8807)/0.00068)</f>
        <v>-1295.1470588235293</v>
      </c>
      <c r="H21" s="12"/>
      <c r="I21" s="2">
        <f>((SQRT(H21)-2.0232)/0.00874)</f>
        <v>-231.48741418764305</v>
      </c>
      <c r="J21" s="12"/>
      <c r="K21" s="2">
        <f>((SQRT(J21)-1.0935)/0.00208)</f>
        <v>-525.7211538461538</v>
      </c>
      <c r="L21" s="12"/>
      <c r="M21" s="5">
        <f>(((200/(L21+0.24))-3.648)/0.0033)</f>
        <v>251419.797979798</v>
      </c>
      <c r="N21" s="12"/>
      <c r="O21" s="5" t="e">
        <f>(((800/N21)-2.0232)/0.00647)</f>
        <v>#DIV/0!</v>
      </c>
    </row>
    <row r="22" spans="1:15" ht="15.75">
      <c r="A22" s="10"/>
      <c r="B22" s="2"/>
      <c r="C22" s="5"/>
      <c r="D22" s="12"/>
      <c r="E22" s="2">
        <f>(((50/(D22+0.24))-3.648)/0.0066)</f>
        <v>31012.929292929297</v>
      </c>
      <c r="F22" s="12"/>
      <c r="G22" s="2">
        <f>((SQRT(F22)-0.8807)/0.00068)</f>
        <v>-1295.1470588235293</v>
      </c>
      <c r="H22" s="12"/>
      <c r="I22" s="2">
        <f>((SQRT(H22)-2.0232)/0.00874)</f>
        <v>-231.48741418764305</v>
      </c>
      <c r="J22" s="12"/>
      <c r="K22" s="2">
        <f>((SQRT(J22)-1.0935)/0.00208)</f>
        <v>-525.7211538461538</v>
      </c>
      <c r="L22" s="12"/>
      <c r="M22" s="5">
        <v>0</v>
      </c>
      <c r="N22" s="12"/>
      <c r="O22" s="5" t="e">
        <f>(((800/N22)-2.0232)/0.00647)</f>
        <v>#DIV/0!</v>
      </c>
    </row>
    <row r="23" spans="1:15" ht="15.75">
      <c r="A23" s="10" t="e">
        <f>RANK(C23,C4:C23,0)</f>
        <v>#DIV/0!</v>
      </c>
      <c r="B23" s="6"/>
      <c r="C23" s="5" t="e">
        <f>SUM(D23:O23)</f>
        <v>#DIV/0!</v>
      </c>
      <c r="D23" s="11"/>
      <c r="E23" s="2">
        <f>SUM(E20:E22)-MIN(E20:E22)</f>
        <v>62025.85858585859</v>
      </c>
      <c r="F23" s="11"/>
      <c r="G23" s="2">
        <f>SUM(G20:G22)-MIN(G20:G22)</f>
        <v>-2590.2941176470586</v>
      </c>
      <c r="H23" s="11"/>
      <c r="I23" s="2">
        <f>SUM(I20:I22)-MIN(I20:I22)</f>
        <v>-462.97482837528617</v>
      </c>
      <c r="J23" s="11"/>
      <c r="K23" s="2">
        <f>SUM(K20:K22)-MIN(K20:K22)</f>
        <v>-1051.4423076923076</v>
      </c>
      <c r="L23" s="11"/>
      <c r="M23" s="2">
        <f>SUM(M20:M21)-MIN(M20:M21)</f>
        <v>251419.797979798</v>
      </c>
      <c r="N23" s="12"/>
      <c r="O23" s="2" t="e">
        <f>SUM(O20:O22)-MIN(O20:O22)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5" max="5" width="8.7109375" style="0" customWidth="1"/>
    <col min="7" max="7" width="28.00390625" style="0" bestFit="1" customWidth="1"/>
  </cols>
  <sheetData>
    <row r="1" spans="1:9" s="19" customFormat="1" ht="21">
      <c r="A1" s="25" t="s">
        <v>51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8" t="str">
        <f>'WK II m'!B7</f>
        <v>Gym Marienberg</v>
      </c>
      <c r="C5" s="23">
        <f>SUM('WK II m'!E7,'WK II m'!G7,'WK II m'!K7,'WK II m'!I7,'WK II m'!M7,'WK II m'!O7,'WK II m'!Q7)</f>
        <v>7247.556710592995</v>
      </c>
      <c r="D5" s="23"/>
      <c r="E5" s="22"/>
      <c r="F5" s="22" t="s">
        <v>30</v>
      </c>
      <c r="G5" s="23" t="str">
        <f>'WK II w'!B11</f>
        <v>Gym Zschopau</v>
      </c>
      <c r="H5" s="23">
        <f>SUM('WK II w'!M11,'WK II w'!G11,'WK II w'!K11,'WK II w'!I11,'WK II w'!E11,'WK II w'!O11,'WK II w'!Q11)</f>
        <v>6513.7164566727715</v>
      </c>
      <c r="I5" s="23"/>
      <c r="J5" s="18"/>
    </row>
    <row r="6" spans="1:10" ht="15.75">
      <c r="A6" s="22" t="s">
        <v>31</v>
      </c>
      <c r="B6" s="28" t="str">
        <f>'WK II m'!B19</f>
        <v>OS Bergstadt Schneeberg</v>
      </c>
      <c r="C6" s="23">
        <f>SUM('WK II m'!E19,'WK II m'!G19,'WK II m'!K19,'WK II m'!I19,'WK II m'!M19,'WK II m'!O19,'WK II m'!Q19)</f>
        <v>6867.5318432172335</v>
      </c>
      <c r="D6" s="23"/>
      <c r="E6" s="22"/>
      <c r="F6" s="22" t="s">
        <v>31</v>
      </c>
      <c r="G6" s="23" t="str">
        <f>'WK II w'!B7</f>
        <v>Gymn Olbernhau</v>
      </c>
      <c r="H6" s="23">
        <f>SUM('WK II w'!M7,'WK II w'!G7,'WK II w'!K7,'WK II w'!I7,'WK II w'!E7,'WK II w'!O7,'WK II w'!Q7)</f>
        <v>4536.3157468658155</v>
      </c>
      <c r="I6" s="23"/>
      <c r="J6" s="18"/>
    </row>
    <row r="7" spans="1:10" ht="15.75">
      <c r="A7" s="22" t="s">
        <v>32</v>
      </c>
      <c r="B7" s="31" t="s">
        <v>43</v>
      </c>
      <c r="C7" s="23">
        <f>SUM('WK II m'!E11,'WK II m'!G11,'WK II m'!K11,'WK II m'!I11,'WK II m'!M11,'WK II m'!O11,'WK II m'!Q11)</f>
        <v>6817.495141300113</v>
      </c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23" t="str">
        <f>'WK II m'!B23</f>
        <v>OS Eibenstock</v>
      </c>
      <c r="C8" s="23">
        <f>SUM('WK II m'!E23,'WK II m'!G23,'WK II m'!K23,'WK II m'!I23,'WK II m'!M23,'WK II m'!O23,'WK II m'!Q23)</f>
        <v>6623.889727909586</v>
      </c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 t="s">
        <v>37</v>
      </c>
      <c r="C9" s="23">
        <f>SUM('WK II m'!E15,'WK II m'!G15,'WK II m'!K15,'WK II m'!I15,'WK II m'!M15,'WK II m'!O15,'WK II m'!Q15)</f>
        <v>6392.749454595382</v>
      </c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tr">
        <f>'WK III m'!B15</f>
        <v>OS Olbernhau</v>
      </c>
      <c r="C15" s="23">
        <f>SUM('WK III m'!E15,'WK III m'!G15,'WK III m'!I15,'WK III m'!K15,'WK III m'!M15,'WK III m'!O15,'WK III m'!Q15)</f>
        <v>6497.743192137673</v>
      </c>
      <c r="D15" s="23"/>
      <c r="E15" s="22"/>
      <c r="F15" s="22" t="s">
        <v>30</v>
      </c>
      <c r="G15" s="23" t="str">
        <f>'WK III w'!B7</f>
        <v>Gym Marienberg</v>
      </c>
      <c r="H15" s="23">
        <f>SUM('WK III w'!E7,'WK III w'!G7,'WK III w'!I7,'WK III w'!K7,'WK III w'!M7,'WK III w'!O7,'WK III w'!Q7)</f>
        <v>6226.705262013023</v>
      </c>
      <c r="I15" s="23"/>
      <c r="J15" s="18"/>
    </row>
    <row r="16" spans="1:10" ht="15.75">
      <c r="A16" s="22" t="s">
        <v>31</v>
      </c>
      <c r="B16" s="23" t="str">
        <f>'WK III m'!B11</f>
        <v>OS Lengefeld</v>
      </c>
      <c r="C16" s="23">
        <f>SUM('WK III m'!E11,'WK III m'!G11,'WK III m'!I11,'WK III m'!K11,'WK III m'!M11,'WK III m'!O11,'WK III m'!Q11)</f>
        <v>6297.715508134967</v>
      </c>
      <c r="D16" s="23"/>
      <c r="E16" s="22"/>
      <c r="F16" s="22" t="s">
        <v>31</v>
      </c>
      <c r="G16" s="23" t="str">
        <f>'WK III w'!B23</f>
        <v>OS Bebel Zschopau</v>
      </c>
      <c r="H16" s="23">
        <f>SUM('WK III w'!E23,'WK III w'!G23,'WK III w'!I23,'WK III w'!K23,'WK III w'!M23,'WK III w'!O23,'WK III w'!Q23)</f>
        <v>5951.160690944361</v>
      </c>
      <c r="I16" s="23"/>
      <c r="J16" s="18"/>
    </row>
    <row r="17" spans="1:10" ht="15.75">
      <c r="A17" s="22" t="s">
        <v>32</v>
      </c>
      <c r="B17" s="23" t="str">
        <f>'WK III m'!B19</f>
        <v>OS Auerbach</v>
      </c>
      <c r="C17" s="23">
        <f>SUM('WK III m'!E19,'WK III m'!G19,'WK III m'!I19,'WK III m'!K19,'WK III m'!M19,'WK III m'!O19,'WK III m'!Q19)</f>
        <v>6186.7476982106</v>
      </c>
      <c r="D17" s="23"/>
      <c r="E17" s="22"/>
      <c r="F17" s="22" t="s">
        <v>32</v>
      </c>
      <c r="G17" s="23" t="str">
        <f>'WK III w'!B19</f>
        <v>OS Olbernhau</v>
      </c>
      <c r="H17" s="23">
        <f>SUM('WK III w'!E19,'WK III w'!G19,'WK III w'!I19,'WK III w'!K19,'WK III w'!M19,'WK III w'!O19,'WK III w'!Q19)</f>
        <v>5863.391446612049</v>
      </c>
      <c r="I17" s="23"/>
      <c r="J17" s="18"/>
    </row>
    <row r="18" spans="1:10" ht="15.75">
      <c r="A18" s="22" t="s">
        <v>33</v>
      </c>
      <c r="B18" s="23" t="str">
        <f>'WK III m'!B7</f>
        <v>OS "Trebra" Marienberg</v>
      </c>
      <c r="C18" s="23">
        <f>SUM('WK III m'!E7,'WK III m'!G7,'WK III m'!I7,'WK III m'!K7,'WK III m'!M7,'WK III m'!O7,'WK III m'!Q7)</f>
        <v>5688.436568842738</v>
      </c>
      <c r="D18" s="23"/>
      <c r="E18" s="22"/>
      <c r="F18" s="22" t="s">
        <v>33</v>
      </c>
      <c r="G18" s="23" t="str">
        <f>'WK III w'!B27</f>
        <v>OS Bergstadt Schneeberg</v>
      </c>
      <c r="H18" s="23">
        <f>SUM('WK III w'!E27,'WK III w'!G27,'WK III w'!I27,'WK III w'!K27,'WK III w'!M27,'WK III w'!O27,'WK III w'!Q27)</f>
        <v>5567.633657476462</v>
      </c>
      <c r="I18" s="23"/>
      <c r="J18" s="18"/>
    </row>
    <row r="19" spans="1:10" ht="15.75">
      <c r="A19" s="22" t="s">
        <v>34</v>
      </c>
      <c r="B19" s="23"/>
      <c r="C19" s="23"/>
      <c r="D19" s="23"/>
      <c r="E19" s="22"/>
      <c r="F19" s="22" t="s">
        <v>34</v>
      </c>
      <c r="G19" s="23" t="str">
        <f>'WK III w'!B11</f>
        <v>Gym Olbernhau</v>
      </c>
      <c r="H19" s="23">
        <f>SUM('WK III w'!E11,'WK III w'!G11,'WK III w'!I11,'WK III w'!K11,'WK III w'!M11,'WK III w'!O11,'WK III w'!Q11)</f>
        <v>5448.696055201968</v>
      </c>
      <c r="I19" s="22"/>
      <c r="J19" s="18"/>
    </row>
    <row r="20" spans="1:10" ht="15.75">
      <c r="A20" s="22" t="s">
        <v>35</v>
      </c>
      <c r="B20" s="23"/>
      <c r="C20" s="23"/>
      <c r="D20" s="22"/>
      <c r="E20" s="22"/>
      <c r="F20" s="22" t="s">
        <v>35</v>
      </c>
      <c r="G20" s="23" t="str">
        <f>'WK III w'!B31</f>
        <v>OS Auerbach</v>
      </c>
      <c r="H20" s="23">
        <f>SUM('WK III w'!E31,'WK III w'!G31,'WK III w'!I31,'WK III w'!K31,'WK III w'!M31,'WK III w'!O31,'WK III w'!Q31)</f>
        <v>4947.700594539993</v>
      </c>
      <c r="I20" s="22"/>
      <c r="J20" s="18"/>
    </row>
    <row r="21" spans="1:10" ht="15.75">
      <c r="A21" s="22" t="s">
        <v>39</v>
      </c>
      <c r="B21" s="23"/>
      <c r="C21" s="23"/>
      <c r="D21" s="22"/>
      <c r="E21" s="22"/>
      <c r="F21" s="22" t="s">
        <v>39</v>
      </c>
      <c r="G21" s="23" t="str">
        <f>'WK III w'!B15</f>
        <v>OS Eibenstock</v>
      </c>
      <c r="H21" s="23">
        <f>SUM('WK III w'!E15,'WK III w'!G15,'WK III w'!I15,'WK III w'!K15,'WK III w'!M15,'WK III w'!O15,'WK III w'!Q15)</f>
        <v>4369.318750149432</v>
      </c>
      <c r="I21" s="22"/>
      <c r="J21" s="18"/>
    </row>
    <row r="22" spans="1:10" ht="15.75">
      <c r="A22" s="22"/>
      <c r="B22" s="22"/>
      <c r="C22" s="23"/>
      <c r="D22" s="22"/>
      <c r="E22" s="22"/>
      <c r="F22" s="22" t="s">
        <v>47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tr">
        <f>'WK IV m'!B7</f>
        <v>Gym Marienberg</v>
      </c>
      <c r="C26" s="23">
        <f>SUM('WK IV m'!E7,'WK IV m'!G7,'WK IV m'!I7,'WK IV m'!K7,'WK IV m'!M7,'WK IV m'!O7)</f>
        <v>4478.051492553699</v>
      </c>
      <c r="D26" s="22"/>
      <c r="E26" s="22"/>
      <c r="F26" s="22" t="s">
        <v>30</v>
      </c>
      <c r="G26" s="23" t="str">
        <f>'WK IV w'!B7</f>
        <v>Gym Marienberg</v>
      </c>
      <c r="H26" s="23">
        <f>SUM('WK IV w'!E7,'WK IV w'!G7,'WK IV w'!I7,'WK IV w'!K7,'WK IV w'!M7,'WK IV w'!O7)</f>
        <v>4814.383398784317</v>
      </c>
      <c r="I26" s="23"/>
      <c r="J26" s="18"/>
    </row>
    <row r="27" spans="1:10" ht="15.75">
      <c r="A27" s="22" t="s">
        <v>31</v>
      </c>
      <c r="B27" s="23" t="str">
        <f>'WK IV m'!B31</f>
        <v>OS Eibenstock</v>
      </c>
      <c r="C27" s="23">
        <f>SUM('WK IV m'!E31,'WK IV m'!G31,'WK IV m'!I31,'WK IV m'!K31,'WK IV m'!M31,'WK IV m'!O31)</f>
        <v>4331.493781918432</v>
      </c>
      <c r="D27" s="23"/>
      <c r="E27" s="22"/>
      <c r="F27" s="22" t="s">
        <v>31</v>
      </c>
      <c r="G27" s="23" t="str">
        <f>'WK IV w'!B15</f>
        <v>OS Auerbach</v>
      </c>
      <c r="H27" s="23">
        <f>SUM('WK IV w'!E15,'WK IV w'!G15,'WK IV w'!I15,'WK IV w'!K15,'WK IV w'!M15,'WK IV w'!O15)</f>
        <v>4438.101368116366</v>
      </c>
      <c r="I27" s="23"/>
      <c r="J27" s="18"/>
    </row>
    <row r="28" spans="1:10" ht="15.75">
      <c r="A28" s="22" t="s">
        <v>32</v>
      </c>
      <c r="B28" s="23" t="str">
        <f>'WK IV m'!B15</f>
        <v>LKG Annaberg</v>
      </c>
      <c r="C28" s="23">
        <f>SUM('WK IV m'!E15,'WK IV m'!G15,'WK IV m'!I15,'WK IV m'!K15,'WK IV m'!M15,'WK IV m'!O15)</f>
        <v>4175.432842069308</v>
      </c>
      <c r="D28" s="23"/>
      <c r="E28" s="22"/>
      <c r="F28" s="22" t="s">
        <v>32</v>
      </c>
      <c r="G28" s="23" t="str">
        <f>'WK IV w'!B19</f>
        <v>LKG Annaberg</v>
      </c>
      <c r="H28" s="23">
        <f>SUM('WK IV w'!E19,'WK IV w'!G19,'WK IV w'!I19,'WK IV w'!K19,'WK IV w'!M19,'WK IV w'!O19)</f>
        <v>4358.6523034963675</v>
      </c>
      <c r="I28" s="23"/>
      <c r="J28" s="18"/>
    </row>
    <row r="29" spans="1:10" ht="15.75">
      <c r="A29" s="22" t="s">
        <v>33</v>
      </c>
      <c r="B29" s="23" t="str">
        <f>'WK IV m'!B23</f>
        <v>OS Bergstadt Schneeberg</v>
      </c>
      <c r="C29" s="23">
        <f>SUM('WK IV m'!E23,'WK IV m'!G23,'WK IV m'!I23,'WK IV m'!K23,'WK IV m'!M23,'WK IV m'!O23)</f>
        <v>4065.169725528107</v>
      </c>
      <c r="D29" s="23"/>
      <c r="E29" s="22"/>
      <c r="F29" s="22" t="s">
        <v>33</v>
      </c>
      <c r="G29" s="23" t="str">
        <f>'WK IV w'!B11</f>
        <v>Gym Olbernhau</v>
      </c>
      <c r="H29" s="23">
        <f>SUM('WK IV w'!E11,'WK IV w'!G11,'WK IV w'!I11,'WK IV w'!K11,'WK IV w'!M11,'WK IV w'!O11)</f>
        <v>4174.203981690664</v>
      </c>
      <c r="I29" s="23"/>
      <c r="J29" s="18"/>
    </row>
    <row r="30" spans="1:10" ht="15.75">
      <c r="A30" s="22" t="s">
        <v>34</v>
      </c>
      <c r="B30" s="23" t="str">
        <f>'WK IV m'!B27</f>
        <v>OS Auerbach</v>
      </c>
      <c r="C30" s="23">
        <f>SUM('WK IV m'!E27,'WK IV m'!G27,'WK IV m'!I27,'WK IV m'!K27,'WK IV m'!M27,'WK IV m'!O27)</f>
        <v>3844.2201474258127</v>
      </c>
      <c r="D30" s="23"/>
      <c r="E30" s="22"/>
      <c r="F30" s="22" t="s">
        <v>34</v>
      </c>
      <c r="G30" s="30"/>
      <c r="H30" s="23"/>
      <c r="I30" s="23"/>
      <c r="J30" s="18"/>
    </row>
    <row r="31" spans="1:10" ht="15.75">
      <c r="A31" s="22" t="s">
        <v>35</v>
      </c>
      <c r="B31" s="28" t="str">
        <f>'WK IV m'!B19</f>
        <v>OS Jöhstadt</v>
      </c>
      <c r="C31" s="23">
        <f>SUM('WK IV m'!E19,'WK IV m'!G19,'WK IV m'!I19,'WK IV m'!K19,'WK IV m'!M19,'WK IV m'!O19)</f>
        <v>3834.2302746861606</v>
      </c>
      <c r="D31" s="23"/>
      <c r="E31" s="22"/>
      <c r="F31" s="22"/>
      <c r="G31" s="22"/>
      <c r="H31" s="23"/>
      <c r="I31" s="23"/>
      <c r="J31" s="18"/>
    </row>
    <row r="32" spans="1:10" ht="15.75">
      <c r="A32" s="22" t="s">
        <v>39</v>
      </c>
      <c r="B32" s="23" t="str">
        <f>'WK IV m'!B11</f>
        <v>Gym Olbernhau</v>
      </c>
      <c r="C32" s="23">
        <f>SUM('WK IV m'!E11,'WK IV m'!G11,'WK IV m'!I11,'WK IV m'!K11,'WK IV m'!M11,'WK IV m'!O11)</f>
        <v>3758.0803253610793</v>
      </c>
      <c r="D32" s="22"/>
      <c r="E32" s="22"/>
      <c r="F32" s="22"/>
      <c r="G32" s="22"/>
      <c r="H32" s="23"/>
      <c r="I32" s="26"/>
      <c r="J32" s="18"/>
    </row>
    <row r="33" spans="1:9" ht="15.75">
      <c r="A33" s="22" t="s">
        <v>47</v>
      </c>
      <c r="B33" s="30"/>
      <c r="C33" s="23"/>
      <c r="D33" s="26"/>
      <c r="E33" s="26"/>
      <c r="F33" s="26"/>
      <c r="G33" s="26"/>
      <c r="H33" s="26"/>
      <c r="I33" s="26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26" sqref="F26:F29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8" s="19" customFormat="1" ht="21">
      <c r="A1" s="25" t="s">
        <v>52</v>
      </c>
      <c r="B1" s="25"/>
      <c r="C1" s="25"/>
      <c r="D1" s="24"/>
      <c r="E1" s="24"/>
      <c r="F1" s="24"/>
      <c r="G1" s="24"/>
      <c r="H1" s="24"/>
    </row>
    <row r="2" spans="1:9" ht="15.75">
      <c r="A2" s="22"/>
      <c r="B2" s="22"/>
      <c r="C2" s="22"/>
      <c r="D2" s="22"/>
      <c r="E2" s="22"/>
      <c r="F2" s="22"/>
      <c r="G2" s="22"/>
      <c r="H2" s="22"/>
      <c r="I2" s="18"/>
    </row>
    <row r="3" spans="1:9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18"/>
    </row>
    <row r="4" spans="1:9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18"/>
    </row>
    <row r="5" spans="1:9" ht="15.75">
      <c r="A5" s="22" t="s">
        <v>30</v>
      </c>
      <c r="B5" s="23" t="str">
        <f>'WK II m'!B11</f>
        <v>Gym Olbernhau</v>
      </c>
      <c r="C5" s="23">
        <f>'WK II m'!E11</f>
        <v>1038.324259186119</v>
      </c>
      <c r="D5" s="23"/>
      <c r="E5" s="22"/>
      <c r="F5" s="22" t="s">
        <v>30</v>
      </c>
      <c r="G5" s="23" t="str">
        <f>'WK II w'!B11</f>
        <v>Gym Zschopau</v>
      </c>
      <c r="H5" s="23">
        <f>'WK II w'!E11</f>
        <v>941.5766068714183</v>
      </c>
      <c r="I5" s="18"/>
    </row>
    <row r="6" spans="1:9" ht="15.75">
      <c r="A6" s="22" t="s">
        <v>31</v>
      </c>
      <c r="B6" s="28" t="str">
        <f>'WK II m'!B19</f>
        <v>OS Bergstadt Schneeberg</v>
      </c>
      <c r="C6" s="23">
        <f>'WK II m'!E19</f>
        <v>1035.0518668033408</v>
      </c>
      <c r="D6" s="23"/>
      <c r="E6" s="22"/>
      <c r="F6" s="22" t="s">
        <v>31</v>
      </c>
      <c r="G6" s="23" t="str">
        <f>'WK II w'!B7</f>
        <v>Gymn Olbernhau</v>
      </c>
      <c r="H6" s="23">
        <f>'WK II w'!E7</f>
        <v>651.8604720767793</v>
      </c>
      <c r="I6" s="18"/>
    </row>
    <row r="7" spans="1:9" ht="15.75">
      <c r="A7" s="22" t="s">
        <v>32</v>
      </c>
      <c r="B7" s="27" t="str">
        <f>'WK II m'!B15</f>
        <v>OS "Trebra" Marienberg</v>
      </c>
      <c r="C7" s="23">
        <f>'WK II m'!E15</f>
        <v>975.1707925637318</v>
      </c>
      <c r="D7" s="22"/>
      <c r="E7" s="22"/>
      <c r="F7" s="22" t="s">
        <v>32</v>
      </c>
      <c r="G7" s="23"/>
      <c r="H7" s="23"/>
      <c r="I7" s="18"/>
    </row>
    <row r="8" spans="1:9" ht="15.75">
      <c r="A8" s="22" t="s">
        <v>33</v>
      </c>
      <c r="B8" s="31" t="str">
        <f>'WK II m'!B7</f>
        <v>Gym Marienberg</v>
      </c>
      <c r="C8" s="23">
        <f>'WK II m'!E7</f>
        <v>904.286717530139</v>
      </c>
      <c r="D8" s="22"/>
      <c r="E8" s="22"/>
      <c r="F8" s="22"/>
      <c r="G8" s="22"/>
      <c r="H8" s="23"/>
      <c r="I8" s="18"/>
    </row>
    <row r="9" spans="1:9" ht="15.75">
      <c r="A9" s="22" t="s">
        <v>34</v>
      </c>
      <c r="B9" s="23" t="str">
        <f>'WK II m'!B23</f>
        <v>OS Eibenstock</v>
      </c>
      <c r="C9" s="23">
        <f>'WK II m'!E23</f>
        <v>895.9748517350884</v>
      </c>
      <c r="D9" s="22"/>
      <c r="E9" s="22"/>
      <c r="F9" s="22"/>
      <c r="G9" s="22"/>
      <c r="H9" s="23"/>
      <c r="I9" s="18"/>
    </row>
    <row r="10" spans="1:9" ht="15.75">
      <c r="A10" s="22" t="s">
        <v>35</v>
      </c>
      <c r="B10" s="23"/>
      <c r="C10" s="23"/>
      <c r="D10" s="22"/>
      <c r="E10" s="22"/>
      <c r="F10" s="22"/>
      <c r="G10" s="22"/>
      <c r="H10" s="23"/>
      <c r="I10" s="18"/>
    </row>
    <row r="11" spans="1:9" ht="15.75">
      <c r="A11" s="22"/>
      <c r="B11" s="22"/>
      <c r="C11" s="23"/>
      <c r="D11" s="22"/>
      <c r="E11" s="22"/>
      <c r="F11" s="22"/>
      <c r="G11" s="22"/>
      <c r="H11" s="23"/>
      <c r="I11" s="18"/>
    </row>
    <row r="12" spans="1:9" ht="15.75">
      <c r="A12" s="22"/>
      <c r="B12" s="22"/>
      <c r="C12" s="23"/>
      <c r="D12" s="22"/>
      <c r="E12" s="22"/>
      <c r="F12" s="22"/>
      <c r="G12" s="22"/>
      <c r="H12" s="23"/>
      <c r="I12" s="18"/>
    </row>
    <row r="13" spans="1:9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18"/>
    </row>
    <row r="14" spans="1:9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18"/>
    </row>
    <row r="15" spans="1:9" ht="15.75">
      <c r="A15" s="22" t="s">
        <v>30</v>
      </c>
      <c r="B15" s="23" t="str">
        <f>'WK III m'!B15</f>
        <v>OS Olbernhau</v>
      </c>
      <c r="C15" s="23">
        <f>'WK III m'!E15</f>
        <v>934.4012483174597</v>
      </c>
      <c r="D15" s="23"/>
      <c r="E15" s="22"/>
      <c r="F15" s="22" t="s">
        <v>30</v>
      </c>
      <c r="G15" s="23" t="str">
        <f>'WK III w'!B7</f>
        <v>Gym Marienberg</v>
      </c>
      <c r="H15" s="23">
        <f>'WK III w'!E7</f>
        <v>972.2988679527657</v>
      </c>
      <c r="I15" s="18"/>
    </row>
    <row r="16" spans="1:9" ht="15.75">
      <c r="A16" s="22" t="s">
        <v>31</v>
      </c>
      <c r="B16" s="23" t="str">
        <f>'WK III m'!B11</f>
        <v>OS Lengefeld</v>
      </c>
      <c r="C16" s="23">
        <f>'WK III m'!E11</f>
        <v>908.1972520199715</v>
      </c>
      <c r="D16" s="23"/>
      <c r="E16" s="22"/>
      <c r="F16" s="22" t="s">
        <v>31</v>
      </c>
      <c r="G16" s="23" t="str">
        <f>'WK III w'!B23</f>
        <v>OS Bebel Zschopau</v>
      </c>
      <c r="H16" s="23">
        <f>'WK III w'!E23</f>
        <v>934.1645680162508</v>
      </c>
      <c r="I16" s="18"/>
    </row>
    <row r="17" spans="1:9" ht="15.75">
      <c r="A17" s="22" t="s">
        <v>32</v>
      </c>
      <c r="B17" s="23" t="str">
        <f>'WK III m'!B7</f>
        <v>OS "Trebra" Marienberg</v>
      </c>
      <c r="C17" s="23">
        <f>'WK III m'!E7</f>
        <v>900.2014750142498</v>
      </c>
      <c r="D17" s="23"/>
      <c r="E17" s="22"/>
      <c r="F17" s="22" t="s">
        <v>32</v>
      </c>
      <c r="G17" s="23" t="str">
        <f>'WK III w'!B15</f>
        <v>OS Eibenstock</v>
      </c>
      <c r="H17" s="23">
        <f>'WK III w'!E15</f>
        <v>922.5988641414889</v>
      </c>
      <c r="I17" s="18"/>
    </row>
    <row r="18" spans="1:9" ht="15.75">
      <c r="A18" s="22" t="s">
        <v>33</v>
      </c>
      <c r="B18" s="23" t="str">
        <f>'WK III m'!B19</f>
        <v>OS Auerbach</v>
      </c>
      <c r="C18" s="23">
        <f>'WK III m'!E19</f>
        <v>882.4079208888427</v>
      </c>
      <c r="D18" s="23"/>
      <c r="E18" s="22"/>
      <c r="F18" s="22" t="s">
        <v>33</v>
      </c>
      <c r="G18" s="23" t="str">
        <f>'WK III w'!B27</f>
        <v>OS Bergstadt Schneeberg</v>
      </c>
      <c r="H18" s="23">
        <f>'WK III w'!E27</f>
        <v>909.7176271214184</v>
      </c>
      <c r="I18" s="18"/>
    </row>
    <row r="19" spans="1:9" ht="15.75">
      <c r="A19" s="22" t="s">
        <v>34</v>
      </c>
      <c r="B19" s="23"/>
      <c r="C19" s="23"/>
      <c r="D19" s="23"/>
      <c r="E19" s="22"/>
      <c r="F19" s="22" t="s">
        <v>34</v>
      </c>
      <c r="G19" s="23" t="str">
        <f>'WK III w'!B11</f>
        <v>Gym Olbernhau</v>
      </c>
      <c r="H19" s="23">
        <f>'WK III w'!E11</f>
        <v>832.7741822154119</v>
      </c>
      <c r="I19" s="18"/>
    </row>
    <row r="20" spans="1:9" ht="15.75">
      <c r="A20" s="22" t="s">
        <v>35</v>
      </c>
      <c r="B20" s="23"/>
      <c r="C20" s="23"/>
      <c r="D20" s="22"/>
      <c r="E20" s="22"/>
      <c r="F20" s="22" t="s">
        <v>35</v>
      </c>
      <c r="G20" s="23" t="str">
        <f>'WK III w'!B31</f>
        <v>OS Auerbach</v>
      </c>
      <c r="H20" s="23">
        <f>'WK III w'!E31</f>
        <v>790.3423883009834</v>
      </c>
      <c r="I20" s="18"/>
    </row>
    <row r="21" spans="1:9" ht="15.75">
      <c r="A21" s="22" t="s">
        <v>39</v>
      </c>
      <c r="B21" s="23"/>
      <c r="C21" s="23"/>
      <c r="D21" s="22"/>
      <c r="E21" s="22"/>
      <c r="F21" s="22" t="s">
        <v>39</v>
      </c>
      <c r="G21" s="23" t="str">
        <f>'WK III w'!B19</f>
        <v>OS Olbernhau</v>
      </c>
      <c r="H21" s="23">
        <f>'WK III w'!E19</f>
        <v>692.0479312689408</v>
      </c>
      <c r="I21" s="18"/>
    </row>
    <row r="22" spans="1:9" ht="15.75">
      <c r="A22" s="22"/>
      <c r="B22" s="22"/>
      <c r="C22" s="23"/>
      <c r="D22" s="22"/>
      <c r="E22" s="22"/>
      <c r="F22" s="22" t="s">
        <v>47</v>
      </c>
      <c r="G22" s="23"/>
      <c r="H22" s="23"/>
      <c r="I22" s="18"/>
    </row>
    <row r="23" spans="1:9" ht="15.75">
      <c r="A23" s="22"/>
      <c r="B23" s="22"/>
      <c r="C23" s="23"/>
      <c r="D23" s="22"/>
      <c r="E23" s="22"/>
      <c r="F23" s="22"/>
      <c r="G23" s="22"/>
      <c r="H23" s="23"/>
      <c r="I23" s="18"/>
    </row>
    <row r="24" spans="1:9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18"/>
    </row>
    <row r="25" spans="1:9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18"/>
    </row>
    <row r="26" spans="1:9" ht="15.75">
      <c r="A26" s="22" t="s">
        <v>30</v>
      </c>
      <c r="B26" s="23" t="str">
        <f>'WK IV m'!B31</f>
        <v>OS Eibenstock</v>
      </c>
      <c r="C26" s="23">
        <f>'WK IV m'!E31</f>
        <v>743.2090222731706</v>
      </c>
      <c r="D26" s="22"/>
      <c r="E26" s="22"/>
      <c r="F26" s="22" t="s">
        <v>30</v>
      </c>
      <c r="G26" s="23" t="str">
        <f>'WK IV w'!B7</f>
        <v>Gym Marienberg</v>
      </c>
      <c r="H26" s="23">
        <f>'WK IV w'!E7</f>
        <v>735.8125360707237</v>
      </c>
      <c r="I26" s="18"/>
    </row>
    <row r="27" spans="1:9" ht="15.75">
      <c r="A27" s="22" t="s">
        <v>31</v>
      </c>
      <c r="B27" s="28" t="str">
        <f>'WK IV m'!B7</f>
        <v>Gym Marienberg</v>
      </c>
      <c r="C27" s="23">
        <f>'WK IV m'!E7</f>
        <v>721.2874821676381</v>
      </c>
      <c r="D27" s="23"/>
      <c r="E27" s="22"/>
      <c r="F27" s="22" t="s">
        <v>31</v>
      </c>
      <c r="G27" s="23" t="str">
        <f>'WK IV w'!B19</f>
        <v>LKG Annaberg</v>
      </c>
      <c r="H27" s="23">
        <f>'WK IV w'!E19</f>
        <v>732.4504791036106</v>
      </c>
      <c r="I27" s="18"/>
    </row>
    <row r="28" spans="1:9" ht="15.75">
      <c r="A28" s="22" t="s">
        <v>32</v>
      </c>
      <c r="B28" s="23" t="str">
        <f>'WK IV m'!B23</f>
        <v>OS Bergstadt Schneeberg</v>
      </c>
      <c r="C28" s="23">
        <f>'WK IV m'!E23</f>
        <v>680.8257320424652</v>
      </c>
      <c r="D28" s="23"/>
      <c r="E28" s="22"/>
      <c r="F28" s="22" t="s">
        <v>32</v>
      </c>
      <c r="G28" s="23" t="str">
        <f>'WK IV w'!B15</f>
        <v>OS Auerbach</v>
      </c>
      <c r="H28" s="23">
        <f>'WK IV w'!E15</f>
        <v>721.0897647498955</v>
      </c>
      <c r="I28" s="18"/>
    </row>
    <row r="29" spans="1:9" ht="15.75">
      <c r="A29" s="22" t="s">
        <v>33</v>
      </c>
      <c r="B29" s="28" t="str">
        <f>'WK IV m'!B19</f>
        <v>OS Jöhstadt</v>
      </c>
      <c r="C29" s="23">
        <f>'WK IV m'!E19</f>
        <v>644.275675168748</v>
      </c>
      <c r="D29" s="23"/>
      <c r="E29" s="22"/>
      <c r="F29" s="22" t="s">
        <v>33</v>
      </c>
      <c r="G29" s="23" t="str">
        <f>'WK IV w'!B11</f>
        <v>Gym Olbernhau</v>
      </c>
      <c r="H29" s="23">
        <f>'WK IV w'!E11</f>
        <v>670.8074887207362</v>
      </c>
      <c r="I29" s="18"/>
    </row>
    <row r="30" spans="1:9" ht="15.75">
      <c r="A30" s="22" t="s">
        <v>34</v>
      </c>
      <c r="B30" s="23" t="str">
        <f>'WK IV m'!B15</f>
        <v>LKG Annaberg</v>
      </c>
      <c r="C30" s="23">
        <f>'WK IV m'!E15</f>
        <v>626.8651190672499</v>
      </c>
      <c r="D30" s="23"/>
      <c r="E30" s="22"/>
      <c r="F30" s="22" t="s">
        <v>34</v>
      </c>
      <c r="G30" s="30"/>
      <c r="H30" s="23"/>
      <c r="I30" s="18"/>
    </row>
    <row r="31" spans="1:9" ht="15.75">
      <c r="A31" s="22" t="s">
        <v>35</v>
      </c>
      <c r="B31" s="23" t="str">
        <f>'WK IV m'!B27</f>
        <v>OS Auerbach</v>
      </c>
      <c r="C31" s="23">
        <f>'WK IV m'!E27</f>
        <v>580.7690868553154</v>
      </c>
      <c r="D31" s="23"/>
      <c r="E31" s="22"/>
      <c r="F31" s="22"/>
      <c r="G31" s="22"/>
      <c r="H31" s="23"/>
      <c r="I31" s="18"/>
    </row>
    <row r="32" spans="1:9" ht="15.75">
      <c r="A32" s="22" t="s">
        <v>39</v>
      </c>
      <c r="B32" s="23" t="str">
        <f>'WK IV m'!B11</f>
        <v>Gym Olbernhau</v>
      </c>
      <c r="C32" s="23">
        <f>'WK IV m'!E11</f>
        <v>564.1707920084111</v>
      </c>
      <c r="D32" s="22"/>
      <c r="E32" s="22"/>
      <c r="F32" s="22"/>
      <c r="G32" s="22"/>
      <c r="H32" s="23"/>
      <c r="I32" s="18"/>
    </row>
    <row r="33" spans="1:9" ht="15.75">
      <c r="A33" s="22" t="s">
        <v>47</v>
      </c>
      <c r="B33" s="30"/>
      <c r="C33" s="23"/>
      <c r="D33" s="22"/>
      <c r="E33" s="22"/>
      <c r="F33" s="26"/>
      <c r="G33" s="26"/>
      <c r="H33" s="23"/>
      <c r="I33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28" sqref="K28"/>
    </sheetView>
  </sheetViews>
  <sheetFormatPr defaultColWidth="11.421875" defaultRowHeight="15"/>
  <cols>
    <col min="1" max="1" width="7.00390625" style="0" customWidth="1"/>
    <col min="2" max="2" width="28.00390625" style="0" bestFit="1" customWidth="1"/>
    <col min="7" max="7" width="28.00390625" style="0" bestFit="1" customWidth="1"/>
  </cols>
  <sheetData>
    <row r="1" spans="1:9" s="19" customFormat="1" ht="21">
      <c r="A1" s="25" t="s">
        <v>53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23</v>
      </c>
      <c r="B3" s="21"/>
      <c r="C3" s="20"/>
      <c r="D3" s="20"/>
      <c r="E3" s="20"/>
      <c r="F3" s="20" t="s">
        <v>27</v>
      </c>
      <c r="G3" s="20"/>
      <c r="H3" s="22"/>
      <c r="I3" s="22"/>
      <c r="J3" s="18"/>
    </row>
    <row r="4" spans="1:10" ht="15.75">
      <c r="A4" s="22" t="s">
        <v>16</v>
      </c>
      <c r="B4" s="22" t="s">
        <v>0</v>
      </c>
      <c r="C4" s="22" t="s">
        <v>24</v>
      </c>
      <c r="D4" s="22"/>
      <c r="E4" s="22"/>
      <c r="F4" s="22" t="s">
        <v>16</v>
      </c>
      <c r="G4" s="22" t="s">
        <v>0</v>
      </c>
      <c r="H4" s="22" t="s">
        <v>24</v>
      </c>
      <c r="I4" s="22"/>
      <c r="J4" s="18"/>
    </row>
    <row r="5" spans="1:10" ht="15.75">
      <c r="A5" s="22" t="s">
        <v>30</v>
      </c>
      <c r="B5" s="28" t="str">
        <f>'WK II m'!B19</f>
        <v>OS Bergstadt Schneeberg</v>
      </c>
      <c r="C5" s="23">
        <f>SUM('WK II m'!E19,'WK II m'!G19)</f>
        <v>1956.1653487637873</v>
      </c>
      <c r="D5" s="23"/>
      <c r="E5" s="22"/>
      <c r="F5" s="22" t="s">
        <v>30</v>
      </c>
      <c r="G5" s="23" t="str">
        <f>'WK II w'!B11</f>
        <v>Gym Zschopau</v>
      </c>
      <c r="H5" s="23">
        <f>SUM('WK II w'!E11,'WK II w'!G11)</f>
        <v>1801.362907592041</v>
      </c>
      <c r="I5" s="23"/>
      <c r="J5" s="18"/>
    </row>
    <row r="6" spans="1:10" ht="15.75">
      <c r="A6" s="22" t="s">
        <v>31</v>
      </c>
      <c r="B6" s="23" t="str">
        <f>'WK II m'!B7</f>
        <v>Gym Marienberg</v>
      </c>
      <c r="C6" s="23">
        <f>SUM('WK II m'!E11,'WK II m'!G11)</f>
        <v>1922.8503580648103</v>
      </c>
      <c r="D6" s="23"/>
      <c r="E6" s="22"/>
      <c r="F6" s="22" t="s">
        <v>31</v>
      </c>
      <c r="G6" s="23" t="str">
        <f>'WK II w'!B7</f>
        <v>Gymn Olbernhau</v>
      </c>
      <c r="H6" s="23">
        <f>SUM('WK II w'!E7,'WK II w'!G7)</f>
        <v>1379.3403500815662</v>
      </c>
      <c r="I6" s="23"/>
      <c r="J6" s="18"/>
    </row>
    <row r="7" spans="1:10" ht="15.75">
      <c r="A7" s="22" t="s">
        <v>32</v>
      </c>
      <c r="B7" s="27" t="str">
        <f>'WK II m'!B15</f>
        <v>OS "Trebra" Marienberg</v>
      </c>
      <c r="C7" s="23">
        <f>SUM('WK II m'!E15,'WK II m'!G15)</f>
        <v>1890.2350999887824</v>
      </c>
      <c r="D7" s="22"/>
      <c r="E7" s="22"/>
      <c r="F7" s="22" t="s">
        <v>32</v>
      </c>
      <c r="G7" s="23"/>
      <c r="H7" s="23"/>
      <c r="I7" s="22"/>
      <c r="J7" s="18"/>
    </row>
    <row r="8" spans="1:10" ht="15.75">
      <c r="A8" s="22" t="s">
        <v>33</v>
      </c>
      <c r="B8" s="31" t="str">
        <f>'WK II m'!B11</f>
        <v>Gym Olbernhau</v>
      </c>
      <c r="C8" s="23">
        <f>SUM('WK II m'!E7,'WK II m'!G7)</f>
        <v>1879.9932797126464</v>
      </c>
      <c r="D8" s="22"/>
      <c r="E8" s="22"/>
      <c r="F8" s="22"/>
      <c r="G8" s="22"/>
      <c r="H8" s="23"/>
      <c r="I8" s="22"/>
      <c r="J8" s="18"/>
    </row>
    <row r="9" spans="1:10" ht="15.75">
      <c r="A9" s="22" t="s">
        <v>34</v>
      </c>
      <c r="B9" s="23" t="str">
        <f>'WK II m'!B23</f>
        <v>OS Eibenstock</v>
      </c>
      <c r="C9" s="23">
        <f>SUM('WK II m'!E23,'WK II m'!G23)</f>
        <v>1805.00182597297</v>
      </c>
      <c r="D9" s="22"/>
      <c r="E9" s="22"/>
      <c r="F9" s="22"/>
      <c r="G9" s="22"/>
      <c r="H9" s="23"/>
      <c r="I9" s="22"/>
      <c r="J9" s="18"/>
    </row>
    <row r="10" spans="1:10" ht="15.75">
      <c r="A10" s="22" t="s">
        <v>35</v>
      </c>
      <c r="B10" s="23"/>
      <c r="C10" s="23"/>
      <c r="D10" s="22"/>
      <c r="E10" s="22"/>
      <c r="F10" s="22"/>
      <c r="G10" s="22"/>
      <c r="H10" s="23"/>
      <c r="I10" s="22"/>
      <c r="J10" s="18"/>
    </row>
    <row r="11" spans="1:10" ht="15.75">
      <c r="A11" s="22"/>
      <c r="B11" s="22"/>
      <c r="C11" s="23"/>
      <c r="D11" s="22"/>
      <c r="E11" s="22"/>
      <c r="F11" s="22"/>
      <c r="G11" s="22"/>
      <c r="H11" s="23"/>
      <c r="I11" s="22"/>
      <c r="J11" s="18"/>
    </row>
    <row r="12" spans="1:10" ht="15.75">
      <c r="A12" s="22"/>
      <c r="B12" s="22"/>
      <c r="C12" s="23"/>
      <c r="D12" s="22"/>
      <c r="E12" s="22"/>
      <c r="F12" s="22"/>
      <c r="G12" s="22"/>
      <c r="H12" s="23"/>
      <c r="I12" s="22"/>
      <c r="J12" s="18"/>
    </row>
    <row r="13" spans="1:10" ht="15.75">
      <c r="A13" s="20" t="s">
        <v>25</v>
      </c>
      <c r="B13" s="21"/>
      <c r="C13" s="20"/>
      <c r="D13" s="20"/>
      <c r="E13" s="20"/>
      <c r="F13" s="20" t="s">
        <v>28</v>
      </c>
      <c r="G13" s="20"/>
      <c r="H13" s="22"/>
      <c r="I13" s="22"/>
      <c r="J13" s="18"/>
    </row>
    <row r="14" spans="1:10" ht="15.75">
      <c r="A14" s="22" t="s">
        <v>16</v>
      </c>
      <c r="B14" s="22" t="s">
        <v>0</v>
      </c>
      <c r="C14" s="22" t="s">
        <v>24</v>
      </c>
      <c r="D14" s="22"/>
      <c r="E14" s="22"/>
      <c r="F14" s="22" t="s">
        <v>16</v>
      </c>
      <c r="G14" s="22" t="s">
        <v>0</v>
      </c>
      <c r="H14" s="22" t="s">
        <v>24</v>
      </c>
      <c r="I14" s="22"/>
      <c r="J14" s="18"/>
    </row>
    <row r="15" spans="1:10" ht="15.75">
      <c r="A15" s="22" t="s">
        <v>30</v>
      </c>
      <c r="B15" s="23" t="str">
        <f>'WK III m'!B15</f>
        <v>OS Olbernhau</v>
      </c>
      <c r="C15" s="23">
        <f>SUM('WK III m'!E15,'WK III m'!G15)</f>
        <v>1934.6271260650155</v>
      </c>
      <c r="D15" s="23"/>
      <c r="E15" s="22"/>
      <c r="F15" s="22" t="s">
        <v>30</v>
      </c>
      <c r="G15" s="23" t="str">
        <f>'WK III w'!B7</f>
        <v>Gym Marienberg</v>
      </c>
      <c r="H15" s="23">
        <f>SUM('WK III w'!E7,'WK III w'!G7)</f>
        <v>1834.8284768971769</v>
      </c>
      <c r="I15" s="23"/>
      <c r="J15" s="18"/>
    </row>
    <row r="16" spans="1:10" ht="15.75">
      <c r="A16" s="22" t="s">
        <v>31</v>
      </c>
      <c r="B16" s="23" t="str">
        <f>'WK III m'!B11</f>
        <v>OS Lengefeld</v>
      </c>
      <c r="C16" s="23">
        <f>SUM('WK III m'!E11,'WK III m'!G11)</f>
        <v>1795.8083345069433</v>
      </c>
      <c r="D16" s="23"/>
      <c r="E16" s="22"/>
      <c r="F16" s="22" t="s">
        <v>31</v>
      </c>
      <c r="G16" s="23" t="str">
        <f>'WK III w'!B27</f>
        <v>OS Bergstadt Schneeberg</v>
      </c>
      <c r="H16" s="23">
        <f>SUM('WK III w'!E27,'WK III w'!G27)</f>
        <v>1689.1390072693055</v>
      </c>
      <c r="I16" s="23"/>
      <c r="J16" s="18"/>
    </row>
    <row r="17" spans="1:10" ht="15.75">
      <c r="A17" s="22" t="s">
        <v>32</v>
      </c>
      <c r="B17" s="23" t="str">
        <f>'WK III m'!B7</f>
        <v>OS "Trebra" Marienberg</v>
      </c>
      <c r="C17" s="23">
        <f>SUM('WK III m'!E7,'WK III m'!G7)</f>
        <v>1737.5019665955817</v>
      </c>
      <c r="D17" s="23"/>
      <c r="E17" s="22"/>
      <c r="F17" s="22" t="s">
        <v>32</v>
      </c>
      <c r="G17" s="23" t="str">
        <f>'WK III w'!B23</f>
        <v>OS Bebel Zschopau</v>
      </c>
      <c r="H17" s="23">
        <f>SUM('WK III w'!E23,'WK III w'!G23)</f>
        <v>1677.6077152066243</v>
      </c>
      <c r="I17" s="23"/>
      <c r="J17" s="18"/>
    </row>
    <row r="18" spans="1:10" ht="15.75">
      <c r="A18" s="22" t="s">
        <v>33</v>
      </c>
      <c r="B18" s="23" t="str">
        <f>'WK III m'!B19</f>
        <v>OS Auerbach</v>
      </c>
      <c r="C18" s="23">
        <f>SUM('WK III m'!E19,'WK III m'!G19)</f>
        <v>1712.4023776541032</v>
      </c>
      <c r="D18" s="23"/>
      <c r="E18" s="22"/>
      <c r="F18" s="22" t="s">
        <v>33</v>
      </c>
      <c r="G18" s="23" t="str">
        <f>'WK III w'!B15</f>
        <v>OS Eibenstock</v>
      </c>
      <c r="H18" s="23">
        <f>SUM('WK III w'!E15,'WK III w'!G15)</f>
        <v>1675.516398722519</v>
      </c>
      <c r="I18" s="23"/>
      <c r="J18" s="18"/>
    </row>
    <row r="19" spans="1:10" ht="15.75">
      <c r="A19" s="22" t="s">
        <v>34</v>
      </c>
      <c r="B19" s="23"/>
      <c r="C19" s="23"/>
      <c r="D19" s="23"/>
      <c r="E19" s="22"/>
      <c r="F19" s="22" t="s">
        <v>34</v>
      </c>
      <c r="G19" s="23" t="str">
        <f>'WK III w'!B19</f>
        <v>OS Olbernhau</v>
      </c>
      <c r="H19" s="23">
        <f>SUM('WK III w'!E19,'WK III w'!G19)</f>
        <v>1580.003372291016</v>
      </c>
      <c r="I19" s="22"/>
      <c r="J19" s="18"/>
    </row>
    <row r="20" spans="1:10" ht="15.75">
      <c r="A20" s="22" t="s">
        <v>35</v>
      </c>
      <c r="B20" s="23"/>
      <c r="C20" s="23"/>
      <c r="D20" s="22"/>
      <c r="E20" s="22"/>
      <c r="F20" s="22" t="s">
        <v>35</v>
      </c>
      <c r="G20" s="23" t="str">
        <f>'WK III w'!B11</f>
        <v>Gym Olbernhau</v>
      </c>
      <c r="H20" s="23">
        <f>SUM('WK III w'!E11,'WK III w'!G11)</f>
        <v>1550.6817310495153</v>
      </c>
      <c r="I20" s="22"/>
      <c r="J20" s="18"/>
    </row>
    <row r="21" spans="1:10" ht="15.75">
      <c r="A21" s="22" t="s">
        <v>39</v>
      </c>
      <c r="B21" s="23"/>
      <c r="C21" s="23"/>
      <c r="D21" s="22"/>
      <c r="E21" s="22"/>
      <c r="F21" s="22" t="s">
        <v>39</v>
      </c>
      <c r="G21" s="23" t="str">
        <f>'WK III w'!B31</f>
        <v>OS Auerbach</v>
      </c>
      <c r="H21" s="23">
        <f>SUM('WK III w'!E31,'WK III w'!G31)</f>
        <v>1509.4876776336723</v>
      </c>
      <c r="I21" s="22"/>
      <c r="J21" s="18"/>
    </row>
    <row r="22" spans="1:10" ht="15.75">
      <c r="A22" s="22"/>
      <c r="B22" s="22"/>
      <c r="C22" s="23"/>
      <c r="D22" s="22"/>
      <c r="E22" s="22"/>
      <c r="F22" s="22" t="s">
        <v>47</v>
      </c>
      <c r="G22" s="23"/>
      <c r="H22" s="23"/>
      <c r="I22" s="22"/>
      <c r="J22" s="18"/>
    </row>
    <row r="23" spans="1:10" ht="15.75">
      <c r="A23" s="22"/>
      <c r="B23" s="22"/>
      <c r="C23" s="23"/>
      <c r="D23" s="22"/>
      <c r="E23" s="22"/>
      <c r="F23" s="22"/>
      <c r="G23" s="22"/>
      <c r="H23" s="23"/>
      <c r="I23" s="22"/>
      <c r="J23" s="18"/>
    </row>
    <row r="24" spans="1:10" ht="15.75">
      <c r="A24" s="20" t="s">
        <v>26</v>
      </c>
      <c r="B24" s="21"/>
      <c r="C24" s="20"/>
      <c r="D24" s="22"/>
      <c r="E24" s="22"/>
      <c r="F24" s="20" t="s">
        <v>29</v>
      </c>
      <c r="G24" s="20"/>
      <c r="H24" s="22"/>
      <c r="I24" s="22"/>
      <c r="J24" s="18"/>
    </row>
    <row r="25" spans="1:10" ht="15.75">
      <c r="A25" s="22" t="s">
        <v>16</v>
      </c>
      <c r="B25" s="22" t="s">
        <v>0</v>
      </c>
      <c r="C25" s="22" t="s">
        <v>24</v>
      </c>
      <c r="D25" s="22"/>
      <c r="E25" s="22"/>
      <c r="F25" s="22" t="s">
        <v>16</v>
      </c>
      <c r="G25" s="22" t="s">
        <v>0</v>
      </c>
      <c r="H25" s="22" t="s">
        <v>24</v>
      </c>
      <c r="I25" s="22"/>
      <c r="J25" s="18"/>
    </row>
    <row r="26" spans="1:10" ht="15.75">
      <c r="A26" s="22" t="s">
        <v>30</v>
      </c>
      <c r="B26" s="28" t="str">
        <f>'WK IV m'!B7</f>
        <v>Gym Marienberg</v>
      </c>
      <c r="C26" s="23">
        <f>SUM('WK IV m'!E7,'WK IV m'!G7)</f>
        <v>1441.5492494789294</v>
      </c>
      <c r="D26" s="22"/>
      <c r="E26" s="22"/>
      <c r="F26" s="22" t="s">
        <v>30</v>
      </c>
      <c r="G26" s="23" t="str">
        <f>'WK IV w'!B7</f>
        <v>Gym Marienberg</v>
      </c>
      <c r="H26" s="23">
        <f>SUM('WK IV w'!E7,'WK IV w'!G7)</f>
        <v>1387.428367910832</v>
      </c>
      <c r="I26" s="23"/>
      <c r="J26" s="18"/>
    </row>
    <row r="27" spans="1:10" ht="15.75">
      <c r="A27" s="22" t="s">
        <v>31</v>
      </c>
      <c r="B27" s="23" t="str">
        <f>'WK IV m'!B31</f>
        <v>OS Eibenstock</v>
      </c>
      <c r="C27" s="23">
        <f>SUM('WK IV m'!E31,'WK IV m'!G31)</f>
        <v>1321.6603459640728</v>
      </c>
      <c r="D27" s="23"/>
      <c r="E27" s="22"/>
      <c r="F27" s="22" t="s">
        <v>31</v>
      </c>
      <c r="G27" s="23" t="str">
        <f>'WK IV w'!B15</f>
        <v>OS Auerbach</v>
      </c>
      <c r="H27" s="23">
        <f>SUM('WK IV w'!E15,'WK IV w'!G15)</f>
        <v>1318.7745360538556</v>
      </c>
      <c r="I27" s="23"/>
      <c r="J27" s="18"/>
    </row>
    <row r="28" spans="1:10" ht="15.75">
      <c r="A28" s="22" t="s">
        <v>32</v>
      </c>
      <c r="B28" s="23" t="str">
        <f>'WK IV m'!B15</f>
        <v>LKG Annaberg</v>
      </c>
      <c r="C28" s="23">
        <f>SUM('WK IV m'!E15,'WK IV m'!G15)</f>
        <v>1318.8907942040878</v>
      </c>
      <c r="D28" s="23"/>
      <c r="E28" s="22"/>
      <c r="F28" s="22" t="s">
        <v>32</v>
      </c>
      <c r="G28" s="23" t="str">
        <f>'WK IV w'!B19</f>
        <v>LKG Annaberg</v>
      </c>
      <c r="H28" s="23">
        <f>SUM('WK IV w'!E19,'WK IV w'!G19)</f>
        <v>1296.2167422693776</v>
      </c>
      <c r="I28" s="23"/>
      <c r="J28" s="18"/>
    </row>
    <row r="29" spans="1:10" ht="15.75">
      <c r="A29" s="22" t="s">
        <v>33</v>
      </c>
      <c r="B29" s="28" t="str">
        <f>'WK IV m'!B19</f>
        <v>OS Jöhstadt</v>
      </c>
      <c r="C29" s="23">
        <f>SUM('WK IV m'!E19,'WK IV m'!G19)</f>
        <v>1308.6245548690317</v>
      </c>
      <c r="D29" s="23"/>
      <c r="E29" s="22"/>
      <c r="F29" s="22" t="s">
        <v>33</v>
      </c>
      <c r="G29" s="23" t="str">
        <f>'WK IV w'!B11</f>
        <v>Gym Olbernhau</v>
      </c>
      <c r="H29" s="23">
        <f>SUM('WK IV w'!E11,'WK IV w'!G11)</f>
        <v>1129.7838486709</v>
      </c>
      <c r="I29" s="23"/>
      <c r="J29" s="18"/>
    </row>
    <row r="30" spans="1:10" ht="15.75">
      <c r="A30" s="22" t="s">
        <v>34</v>
      </c>
      <c r="B30" s="23" t="str">
        <f>'WK IV m'!B23</f>
        <v>OS Bergstadt Schneeberg</v>
      </c>
      <c r="C30" s="23">
        <f>SUM('WK IV m'!E23,'WK IV m'!G23)</f>
        <v>1288.1077876508316</v>
      </c>
      <c r="D30" s="23"/>
      <c r="E30" s="22"/>
      <c r="F30" s="22" t="s">
        <v>34</v>
      </c>
      <c r="G30" s="30"/>
      <c r="H30" s="23"/>
      <c r="I30" s="23"/>
      <c r="J30" s="18"/>
    </row>
    <row r="31" spans="1:10" ht="15.75">
      <c r="A31" s="22" t="s">
        <v>35</v>
      </c>
      <c r="B31" s="23" t="str">
        <f>'WK IV m'!B27</f>
        <v>OS Auerbach</v>
      </c>
      <c r="C31" s="23">
        <f>SUM('WK IV m'!E27,'WK IV m'!G27)</f>
        <v>1100.2912072806946</v>
      </c>
      <c r="D31" s="23"/>
      <c r="E31" s="22"/>
      <c r="F31" s="22"/>
      <c r="G31" s="22"/>
      <c r="H31" s="23"/>
      <c r="I31" s="23"/>
      <c r="J31" s="18"/>
    </row>
    <row r="32" spans="1:10" ht="15.75">
      <c r="A32" s="22" t="s">
        <v>39</v>
      </c>
      <c r="B32" s="23" t="str">
        <f>'WK IV m'!B11</f>
        <v>Gym Olbernhau</v>
      </c>
      <c r="C32" s="23">
        <f>SUM('WK IV m'!E11,'WK IV m'!G11)</f>
        <v>793.789637753361</v>
      </c>
      <c r="D32" s="22"/>
      <c r="E32" s="22"/>
      <c r="F32" s="22"/>
      <c r="G32" s="22"/>
      <c r="H32" s="23"/>
      <c r="I32" s="26"/>
      <c r="J32" s="18"/>
    </row>
  </sheetData>
  <sheetProtection/>
  <printOptions/>
  <pageMargins left="0.2362204724409449" right="0.2362204724409449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2018-09-18T12:19:20Z</cp:lastPrinted>
  <dcterms:created xsi:type="dcterms:W3CDTF">2011-04-22T18:02:58Z</dcterms:created>
  <dcterms:modified xsi:type="dcterms:W3CDTF">2018-09-18T15:47:28Z</dcterms:modified>
  <cp:category/>
  <cp:version/>
  <cp:contentType/>
  <cp:contentStatus/>
</cp:coreProperties>
</file>